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mclai\WiLS Dropbox\WiLS-wide\WPLC\Financials\Budgets\WPLC budget\2025\"/>
    </mc:Choice>
  </mc:AlternateContent>
  <xr:revisionPtr revIDLastSave="0" documentId="13_ncr:1_{049148AC-05A5-4919-BC1C-3601FA62E81A}" xr6:coauthVersionLast="47" xr6:coauthVersionMax="47" xr10:uidLastSave="{00000000-0000-0000-0000-000000000000}"/>
  <bookViews>
    <workbookView xWindow="31695" yWindow="2265" windowWidth="21630" windowHeight="11250" tabRatio="942" xr2:uid="{00000000-000D-0000-FFFF-FFFF00000000}"/>
  </bookViews>
  <sheets>
    <sheet name="2025 budget" sheetId="1" r:id="rId1"/>
    <sheet name="21-22 comparison and totals" sheetId="7" state="hidden" r:id="rId2"/>
    <sheet name="24-25 comparisons and totals" sheetId="9" r:id="rId3"/>
    <sheet name="Partner shares" sheetId="2" r:id="rId4"/>
    <sheet name="Magazine Costs" sheetId="8" r:id="rId5"/>
    <sheet name="Buying pool summary" sheetId="3" r:id="rId6"/>
    <sheet name="Buying pool 23-24 comparison" sheetId="6" r:id="rId7"/>
    <sheet name="Project Management" sheetId="10" r:id="rId8"/>
  </sheets>
  <definedNames>
    <definedName name="_xlnm.Print_Area" localSheetId="1">'21-22 comparison and totals'!$A$1:$F$23</definedName>
    <definedName name="_xlnm.Print_Area" localSheetId="6">'Buying pool 23-24 comparison'!#REF!</definedName>
  </definedNames>
  <calcPr calcId="181029"/>
</workbook>
</file>

<file path=xl/calcChain.xml><?xml version="1.0" encoding="utf-8"?>
<calcChain xmlns="http://schemas.openxmlformats.org/spreadsheetml/2006/main">
  <c r="I16" i="9" l="1"/>
  <c r="H16" i="9"/>
  <c r="G16" i="9"/>
  <c r="L22" i="3"/>
  <c r="D29" i="1" l="1"/>
  <c r="C29" i="1"/>
  <c r="C7" i="1"/>
  <c r="B41" i="3"/>
  <c r="E24" i="6" l="1"/>
  <c r="H21" i="8"/>
  <c r="J16" i="9"/>
  <c r="D15" i="8" l="1"/>
  <c r="B15" i="8"/>
  <c r="C17" i="10" l="1"/>
  <c r="C18" i="10" s="1"/>
  <c r="C12" i="10"/>
  <c r="D7" i="1" l="1"/>
  <c r="H22" i="3"/>
  <c r="I16" i="3" s="1"/>
  <c r="J17" i="6" l="1"/>
  <c r="J16" i="3"/>
  <c r="L17" i="6" s="1"/>
  <c r="H4" i="3"/>
  <c r="D6" i="8" l="1"/>
  <c r="D7" i="8"/>
  <c r="D8" i="8"/>
  <c r="D9" i="8"/>
  <c r="D10" i="8"/>
  <c r="D11" i="8"/>
  <c r="D12" i="8"/>
  <c r="D13" i="8"/>
  <c r="D14" i="8"/>
  <c r="D16" i="8"/>
  <c r="D17" i="8"/>
  <c r="D18" i="8"/>
  <c r="D19" i="8"/>
  <c r="D20" i="8"/>
  <c r="B6" i="8"/>
  <c r="B7" i="8"/>
  <c r="B8" i="8"/>
  <c r="B9" i="8"/>
  <c r="B10" i="8"/>
  <c r="B11" i="8"/>
  <c r="B12" i="8"/>
  <c r="B13" i="8"/>
  <c r="B14" i="8"/>
  <c r="B16" i="8"/>
  <c r="B17" i="8"/>
  <c r="B18" i="8"/>
  <c r="B19" i="8"/>
  <c r="B20" i="8"/>
  <c r="G7" i="9" l="1"/>
  <c r="G8" i="9"/>
  <c r="G9" i="9"/>
  <c r="G10" i="9"/>
  <c r="G11" i="9"/>
  <c r="G12" i="9"/>
  <c r="G13" i="9"/>
  <c r="G14" i="9"/>
  <c r="G15" i="9"/>
  <c r="G17" i="9"/>
  <c r="G18" i="9"/>
  <c r="G19" i="9"/>
  <c r="G20" i="9"/>
  <c r="G21" i="9"/>
  <c r="G22" i="9" l="1"/>
  <c r="D11" i="1"/>
  <c r="B21" i="9" l="1"/>
  <c r="B13" i="9"/>
  <c r="D21" i="8" l="1"/>
  <c r="B21" i="8"/>
  <c r="C15" i="8" l="1"/>
  <c r="C21" i="8"/>
  <c r="C20" i="8"/>
  <c r="E7" i="8"/>
  <c r="E15" i="8"/>
  <c r="G15" i="8" s="1"/>
  <c r="E16" i="9" s="1"/>
  <c r="E18" i="8"/>
  <c r="E6" i="8"/>
  <c r="C9" i="8"/>
  <c r="E17" i="8"/>
  <c r="E13" i="8"/>
  <c r="C19" i="8"/>
  <c r="C8" i="8"/>
  <c r="E12" i="8"/>
  <c r="C10" i="8"/>
  <c r="C18" i="8"/>
  <c r="E11" i="8"/>
  <c r="C17" i="8"/>
  <c r="E21" i="8"/>
  <c r="E10" i="8"/>
  <c r="C16" i="8"/>
  <c r="E20" i="8"/>
  <c r="E9" i="8"/>
  <c r="C11" i="8"/>
  <c r="E19" i="8"/>
  <c r="C13" i="8"/>
  <c r="C6" i="8"/>
  <c r="E16" i="8"/>
  <c r="I17" i="9" s="1"/>
  <c r="E8" i="8"/>
  <c r="C14" i="8"/>
  <c r="C7" i="8"/>
  <c r="C12" i="8"/>
  <c r="E14" i="8"/>
  <c r="G7" i="8" l="1"/>
  <c r="E8" i="9" s="1"/>
  <c r="F15" i="8"/>
  <c r="G12" i="8"/>
  <c r="E13" i="9" s="1"/>
  <c r="G17" i="8"/>
  <c r="E18" i="9" s="1"/>
  <c r="B1" i="2"/>
  <c r="B2" i="2" s="1"/>
  <c r="C11" i="1"/>
  <c r="G13" i="8"/>
  <c r="E14" i="9" s="1"/>
  <c r="G6" i="8"/>
  <c r="E7" i="9" s="1"/>
  <c r="G20" i="8"/>
  <c r="E21" i="9" s="1"/>
  <c r="G18" i="8"/>
  <c r="E19" i="9" s="1"/>
  <c r="G10" i="8"/>
  <c r="E11" i="9" s="1"/>
  <c r="G11" i="8"/>
  <c r="E12" i="9" s="1"/>
  <c r="G9" i="8"/>
  <c r="E10" i="9" s="1"/>
  <c r="G14" i="8"/>
  <c r="E15" i="9" s="1"/>
  <c r="G16" i="8"/>
  <c r="E17" i="9" s="1"/>
  <c r="G8" i="8"/>
  <c r="E9" i="9" s="1"/>
  <c r="G19" i="8"/>
  <c r="E20" i="9" s="1"/>
  <c r="I13" i="9"/>
  <c r="I21" i="9"/>
  <c r="F18" i="8"/>
  <c r="I10" i="9"/>
  <c r="F8" i="8"/>
  <c r="F16" i="8"/>
  <c r="I9" i="9"/>
  <c r="I12" i="9"/>
  <c r="F20" i="8"/>
  <c r="F10" i="8"/>
  <c r="F9" i="8"/>
  <c r="F11" i="8"/>
  <c r="I19" i="9"/>
  <c r="I20" i="9"/>
  <c r="I11" i="9"/>
  <c r="F19" i="8"/>
  <c r="I18" i="9"/>
  <c r="F17" i="8"/>
  <c r="F7" i="8"/>
  <c r="I8" i="9"/>
  <c r="F14" i="8"/>
  <c r="I15" i="9"/>
  <c r="F6" i="8"/>
  <c r="I7" i="9"/>
  <c r="F12" i="8"/>
  <c r="I14" i="9"/>
  <c r="F13" i="8"/>
  <c r="B14" i="2" l="1"/>
  <c r="D14" i="2" s="1"/>
  <c r="B15" i="2"/>
  <c r="B16" i="2"/>
  <c r="D16" i="2" s="1"/>
  <c r="E22" i="9"/>
  <c r="G21" i="8"/>
  <c r="F21" i="8"/>
  <c r="I22" i="9"/>
  <c r="F8" i="7"/>
  <c r="F9" i="7"/>
  <c r="F10" i="7"/>
  <c r="F11" i="7"/>
  <c r="F12" i="7"/>
  <c r="F13" i="7"/>
  <c r="F14" i="7"/>
  <c r="F15" i="7"/>
  <c r="F16" i="7"/>
  <c r="F17" i="7"/>
  <c r="F18" i="7"/>
  <c r="F19" i="7"/>
  <c r="F20" i="7"/>
  <c r="F21" i="7"/>
  <c r="F22" i="7"/>
  <c r="F7" i="7"/>
  <c r="D16" i="9" l="1"/>
  <c r="D15" i="2"/>
  <c r="F23" i="7" l="1"/>
  <c r="B15" i="7"/>
  <c r="B22" i="7"/>
  <c r="C24" i="6"/>
  <c r="G24" i="6"/>
  <c r="K24" i="6"/>
  <c r="M24" i="6"/>
  <c r="I24" i="6"/>
  <c r="D22" i="3"/>
  <c r="B22" i="3"/>
  <c r="C16" i="3" s="1"/>
  <c r="I7" i="3"/>
  <c r="E16" i="3" l="1"/>
  <c r="D17" i="6" s="1"/>
  <c r="E17" i="3"/>
  <c r="B17" i="6"/>
  <c r="G16" i="3"/>
  <c r="F16" i="3"/>
  <c r="F17" i="6" s="1"/>
  <c r="C10" i="3"/>
  <c r="B11" i="6" s="1"/>
  <c r="J7" i="3"/>
  <c r="L8" i="6" s="1"/>
  <c r="J8" i="6"/>
  <c r="B9" i="2"/>
  <c r="D9" i="2" s="1"/>
  <c r="B18" i="2"/>
  <c r="D18" i="2" s="1"/>
  <c r="B11" i="2"/>
  <c r="D11" i="2" s="1"/>
  <c r="B13" i="2"/>
  <c r="D13" i="2" s="1"/>
  <c r="B8" i="2"/>
  <c r="D8" i="2" s="1"/>
  <c r="B10" i="2"/>
  <c r="D10" i="2" s="1"/>
  <c r="B19" i="2"/>
  <c r="D19" i="2" s="1"/>
  <c r="B20" i="2"/>
  <c r="D20" i="2" s="1"/>
  <c r="B12" i="2"/>
  <c r="D12" i="2" s="1"/>
  <c r="B17" i="2"/>
  <c r="D17" i="2" s="1"/>
  <c r="B6" i="2"/>
  <c r="D6" i="2" s="1"/>
  <c r="B7" i="2"/>
  <c r="D7" i="2" s="1"/>
  <c r="H7" i="9"/>
  <c r="H8" i="9"/>
  <c r="H9" i="9"/>
  <c r="H17" i="9"/>
  <c r="H19" i="9"/>
  <c r="H14" i="9"/>
  <c r="H18" i="9"/>
  <c r="H20" i="9"/>
  <c r="H10" i="9"/>
  <c r="H11" i="9"/>
  <c r="H12" i="9"/>
  <c r="H21" i="9"/>
  <c r="H15" i="9"/>
  <c r="H13" i="9"/>
  <c r="I12" i="3"/>
  <c r="J12" i="3" s="1"/>
  <c r="I9" i="3"/>
  <c r="I20" i="3"/>
  <c r="I10" i="3"/>
  <c r="I8" i="3"/>
  <c r="I15" i="3"/>
  <c r="E15" i="3"/>
  <c r="D16" i="6" s="1"/>
  <c r="C11" i="3"/>
  <c r="B12" i="6" s="1"/>
  <c r="C12" i="3"/>
  <c r="B13" i="6" s="1"/>
  <c r="C9" i="3"/>
  <c r="B10" i="6" s="1"/>
  <c r="C8" i="3"/>
  <c r="B9" i="6" s="1"/>
  <c r="C7" i="3"/>
  <c r="B8" i="6" s="1"/>
  <c r="C21" i="3"/>
  <c r="B22" i="6" s="1"/>
  <c r="C13" i="3"/>
  <c r="B14" i="6" s="1"/>
  <c r="C15" i="3"/>
  <c r="B16" i="6" s="1"/>
  <c r="C17" i="3"/>
  <c r="C14" i="3"/>
  <c r="B15" i="6" s="1"/>
  <c r="C18" i="3"/>
  <c r="B19" i="6" s="1"/>
  <c r="C19" i="3"/>
  <c r="B20" i="6" s="1"/>
  <c r="C20" i="3"/>
  <c r="B21" i="6" s="1"/>
  <c r="E21" i="3"/>
  <c r="D22" i="6" s="1"/>
  <c r="E13" i="3"/>
  <c r="D14" i="6" s="1"/>
  <c r="E14" i="3"/>
  <c r="D15" i="6" s="1"/>
  <c r="I17" i="3"/>
  <c r="J17" i="3" s="1"/>
  <c r="E11" i="3"/>
  <c r="D12" i="6" s="1"/>
  <c r="E8" i="3"/>
  <c r="D9" i="6" s="1"/>
  <c r="I13" i="3"/>
  <c r="E9" i="3"/>
  <c r="D10" i="6" s="1"/>
  <c r="I19" i="3"/>
  <c r="E19" i="3"/>
  <c r="D20" i="6" s="1"/>
  <c r="E20" i="3"/>
  <c r="D21" i="6" s="1"/>
  <c r="E12" i="3"/>
  <c r="D13" i="6" s="1"/>
  <c r="I14" i="3"/>
  <c r="E18" i="3"/>
  <c r="D19" i="6" s="1"/>
  <c r="I21" i="3"/>
  <c r="I18" i="3"/>
  <c r="J18" i="3" s="1"/>
  <c r="D18" i="6"/>
  <c r="I11" i="3"/>
  <c r="E7" i="3"/>
  <c r="D8" i="6" s="1"/>
  <c r="E10" i="3"/>
  <c r="D11" i="6" s="1"/>
  <c r="K16" i="3" l="1"/>
  <c r="H17" i="6"/>
  <c r="B18" i="6"/>
  <c r="F17" i="3"/>
  <c r="F18" i="6" s="1"/>
  <c r="B21" i="2"/>
  <c r="D24" i="6"/>
  <c r="E22" i="3"/>
  <c r="C22" i="3"/>
  <c r="J11" i="3"/>
  <c r="L12" i="6" s="1"/>
  <c r="J12" i="6"/>
  <c r="L18" i="6"/>
  <c r="J18" i="6"/>
  <c r="J15" i="3"/>
  <c r="L16" i="6" s="1"/>
  <c r="J16" i="6"/>
  <c r="J8" i="3"/>
  <c r="L9" i="6" s="1"/>
  <c r="J9" i="6"/>
  <c r="L19" i="6"/>
  <c r="J19" i="6"/>
  <c r="J10" i="3"/>
  <c r="L11" i="6" s="1"/>
  <c r="J11" i="6"/>
  <c r="J13" i="3"/>
  <c r="L14" i="6" s="1"/>
  <c r="J14" i="6"/>
  <c r="J20" i="3"/>
  <c r="L21" i="6" s="1"/>
  <c r="J21" i="6"/>
  <c r="J19" i="3"/>
  <c r="L20" i="6" s="1"/>
  <c r="J20" i="6"/>
  <c r="J14" i="3"/>
  <c r="L15" i="6" s="1"/>
  <c r="J15" i="6"/>
  <c r="J9" i="3"/>
  <c r="L10" i="6" s="1"/>
  <c r="J10" i="6"/>
  <c r="J21" i="3"/>
  <c r="L22" i="6" s="1"/>
  <c r="J22" i="6"/>
  <c r="L13" i="6"/>
  <c r="J13" i="6"/>
  <c r="D11" i="9"/>
  <c r="G13" i="7"/>
  <c r="H13" i="7" s="1"/>
  <c r="D18" i="9"/>
  <c r="G19" i="7"/>
  <c r="H19" i="7" s="1"/>
  <c r="D9" i="9"/>
  <c r="G10" i="7"/>
  <c r="H10" i="7" s="1"/>
  <c r="D13" i="9"/>
  <c r="G15" i="7"/>
  <c r="H15" i="7" s="1"/>
  <c r="D15" i="9"/>
  <c r="G17" i="7"/>
  <c r="H17" i="7" s="1"/>
  <c r="D7" i="9"/>
  <c r="G8" i="7"/>
  <c r="H8" i="7" s="1"/>
  <c r="G11" i="7"/>
  <c r="H11" i="7" s="1"/>
  <c r="D14" i="9"/>
  <c r="G16" i="7"/>
  <c r="H16" i="7" s="1"/>
  <c r="D8" i="9"/>
  <c r="G9" i="7"/>
  <c r="H9" i="7" s="1"/>
  <c r="D17" i="9"/>
  <c r="G18" i="7"/>
  <c r="H18" i="7" s="1"/>
  <c r="D12" i="9"/>
  <c r="G14" i="7"/>
  <c r="H14" i="7" s="1"/>
  <c r="G7" i="7"/>
  <c r="D19" i="9"/>
  <c r="G20" i="7"/>
  <c r="H20" i="7" s="1"/>
  <c r="D20" i="9"/>
  <c r="G21" i="7"/>
  <c r="H21" i="7" s="1"/>
  <c r="D21" i="9"/>
  <c r="G22" i="7"/>
  <c r="H22" i="7" s="1"/>
  <c r="D10" i="9"/>
  <c r="G12" i="7"/>
  <c r="H12" i="7" s="1"/>
  <c r="H22" i="9"/>
  <c r="D11" i="7"/>
  <c r="D15" i="7"/>
  <c r="D22" i="7"/>
  <c r="D20" i="7"/>
  <c r="D19" i="7"/>
  <c r="D14" i="7"/>
  <c r="D18" i="7"/>
  <c r="D16" i="7"/>
  <c r="D13" i="7"/>
  <c r="D10" i="7"/>
  <c r="D17" i="7"/>
  <c r="D9" i="7"/>
  <c r="D7" i="7"/>
  <c r="C21" i="2"/>
  <c r="D12" i="7"/>
  <c r="D21" i="7"/>
  <c r="D8" i="7"/>
  <c r="G17" i="3"/>
  <c r="G8" i="3"/>
  <c r="F15" i="3"/>
  <c r="F16" i="6" s="1"/>
  <c r="F13" i="3"/>
  <c r="F14" i="6" s="1"/>
  <c r="F8" i="3"/>
  <c r="F9" i="6" s="1"/>
  <c r="F14" i="3"/>
  <c r="F15" i="6" s="1"/>
  <c r="G15" i="3"/>
  <c r="G18" i="3"/>
  <c r="G13" i="3"/>
  <c r="I22" i="3"/>
  <c r="F10" i="3"/>
  <c r="F11" i="6" s="1"/>
  <c r="G10" i="3"/>
  <c r="F21" i="3"/>
  <c r="F22" i="6" s="1"/>
  <c r="G21" i="3"/>
  <c r="G14" i="3"/>
  <c r="F7" i="3"/>
  <c r="F8" i="6" s="1"/>
  <c r="G7" i="3"/>
  <c r="H8" i="6" s="1"/>
  <c r="G19" i="3"/>
  <c r="F19" i="3"/>
  <c r="F20" i="6" s="1"/>
  <c r="G20" i="3"/>
  <c r="F20" i="3"/>
  <c r="F21" i="6" s="1"/>
  <c r="F9" i="3"/>
  <c r="F10" i="6" s="1"/>
  <c r="G9" i="3"/>
  <c r="F12" i="3"/>
  <c r="F13" i="6" s="1"/>
  <c r="G12" i="3"/>
  <c r="G11" i="3"/>
  <c r="F11" i="3"/>
  <c r="F12" i="6" s="1"/>
  <c r="F18" i="3"/>
  <c r="F19" i="6" s="1"/>
  <c r="M16" i="3" l="1"/>
  <c r="C16" i="9"/>
  <c r="F16" i="9" s="1"/>
  <c r="K16" i="9" s="1"/>
  <c r="B24" i="6"/>
  <c r="F24" i="6"/>
  <c r="J24" i="6"/>
  <c r="L24" i="6"/>
  <c r="K11" i="3"/>
  <c r="H12" i="6"/>
  <c r="K14" i="3"/>
  <c r="H15" i="6"/>
  <c r="K8" i="3"/>
  <c r="M8" i="3" s="1"/>
  <c r="H9" i="6"/>
  <c r="K21" i="3"/>
  <c r="M21" i="3" s="1"/>
  <c r="H22" i="6"/>
  <c r="K20" i="3"/>
  <c r="M20" i="3" s="1"/>
  <c r="H21" i="6"/>
  <c r="K13" i="3"/>
  <c r="M13" i="3" s="1"/>
  <c r="H14" i="6"/>
  <c r="K17" i="3"/>
  <c r="M17" i="3" s="1"/>
  <c r="H18" i="6"/>
  <c r="K10" i="3"/>
  <c r="M10" i="3" s="1"/>
  <c r="H11" i="6"/>
  <c r="K18" i="3"/>
  <c r="M18" i="3" s="1"/>
  <c r="H19" i="6"/>
  <c r="K9" i="3"/>
  <c r="M9" i="3" s="1"/>
  <c r="H10" i="6"/>
  <c r="K19" i="3"/>
  <c r="M19" i="3" s="1"/>
  <c r="H20" i="6"/>
  <c r="K15" i="3"/>
  <c r="M15" i="3" s="1"/>
  <c r="H16" i="6"/>
  <c r="K12" i="3"/>
  <c r="M12" i="3" s="1"/>
  <c r="H13" i="6"/>
  <c r="D22" i="9"/>
  <c r="H7" i="7"/>
  <c r="H23" i="7" s="1"/>
  <c r="G23" i="7"/>
  <c r="D23" i="7"/>
  <c r="D21" i="2"/>
  <c r="K7" i="3"/>
  <c r="M7" i="3" s="1"/>
  <c r="G22" i="3"/>
  <c r="J22" i="3"/>
  <c r="F22" i="3"/>
  <c r="C16" i="7" l="1"/>
  <c r="E16" i="7" s="1"/>
  <c r="I16" i="7" s="1"/>
  <c r="M14" i="3"/>
  <c r="C13" i="7"/>
  <c r="E13" i="7" s="1"/>
  <c r="I13" i="7" s="1"/>
  <c r="M11" i="3"/>
  <c r="H24" i="6"/>
  <c r="C14" i="7"/>
  <c r="E14" i="7" s="1"/>
  <c r="I14" i="7" s="1"/>
  <c r="C12" i="7"/>
  <c r="E12" i="7" s="1"/>
  <c r="I12" i="7" s="1"/>
  <c r="C17" i="7"/>
  <c r="E17" i="7" s="1"/>
  <c r="I17" i="7" s="1"/>
  <c r="C11" i="7"/>
  <c r="E11" i="7" s="1"/>
  <c r="I11" i="7" s="1"/>
  <c r="C9" i="7"/>
  <c r="E9" i="7" s="1"/>
  <c r="I9" i="7" s="1"/>
  <c r="C20" i="7"/>
  <c r="E20" i="7" s="1"/>
  <c r="I20" i="7" s="1"/>
  <c r="C21" i="7"/>
  <c r="E21" i="7" s="1"/>
  <c r="I21" i="7" s="1"/>
  <c r="C22" i="7"/>
  <c r="E22" i="7" s="1"/>
  <c r="I22" i="7" s="1"/>
  <c r="C19" i="7"/>
  <c r="E19" i="7" s="1"/>
  <c r="I19" i="7" s="1"/>
  <c r="J19" i="9"/>
  <c r="C19" i="9"/>
  <c r="F19" i="9" s="1"/>
  <c r="J17" i="9"/>
  <c r="C17" i="9"/>
  <c r="F17" i="9" s="1"/>
  <c r="C10" i="7"/>
  <c r="E10" i="7" s="1"/>
  <c r="I10" i="7" s="1"/>
  <c r="J20" i="9"/>
  <c r="C20" i="9"/>
  <c r="F20" i="9" s="1"/>
  <c r="J12" i="9"/>
  <c r="C12" i="9"/>
  <c r="F12" i="9" s="1"/>
  <c r="J18" i="9"/>
  <c r="C18" i="9"/>
  <c r="F18" i="9" s="1"/>
  <c r="J21" i="9"/>
  <c r="C21" i="9"/>
  <c r="F21" i="9" s="1"/>
  <c r="K21" i="9" s="1"/>
  <c r="J14" i="9"/>
  <c r="C14" i="9"/>
  <c r="F14" i="9" s="1"/>
  <c r="J13" i="9"/>
  <c r="C13" i="9"/>
  <c r="F13" i="9" s="1"/>
  <c r="C18" i="7"/>
  <c r="E18" i="7" s="1"/>
  <c r="I18" i="7" s="1"/>
  <c r="J15" i="9"/>
  <c r="C15" i="9"/>
  <c r="F15" i="9" s="1"/>
  <c r="J10" i="9"/>
  <c r="C10" i="9"/>
  <c r="F10" i="9" s="1"/>
  <c r="J7" i="9"/>
  <c r="C7" i="9"/>
  <c r="F7" i="9" s="1"/>
  <c r="C15" i="7"/>
  <c r="E15" i="7" s="1"/>
  <c r="I15" i="7" s="1"/>
  <c r="J8" i="9"/>
  <c r="C8" i="9"/>
  <c r="F8" i="9" s="1"/>
  <c r="J11" i="9"/>
  <c r="C11" i="9"/>
  <c r="F11" i="9" s="1"/>
  <c r="J9" i="9"/>
  <c r="C9" i="9"/>
  <c r="F9" i="9" s="1"/>
  <c r="C7" i="7"/>
  <c r="E7" i="7" s="1"/>
  <c r="K22" i="3"/>
  <c r="C8" i="7"/>
  <c r="E8" i="7" s="1"/>
  <c r="I8" i="7" s="1"/>
  <c r="K10" i="9" l="1"/>
  <c r="K13" i="9"/>
  <c r="K17" i="9"/>
  <c r="K9" i="9"/>
  <c r="K15" i="9"/>
  <c r="K12" i="9"/>
  <c r="K20" i="9"/>
  <c r="K11" i="9"/>
  <c r="K8" i="9"/>
  <c r="K14" i="9"/>
  <c r="K19" i="9"/>
  <c r="K18" i="9"/>
  <c r="K7" i="9"/>
  <c r="F22" i="9"/>
  <c r="C22" i="9"/>
  <c r="C23" i="7"/>
  <c r="I7" i="7"/>
  <c r="E23" i="7"/>
  <c r="J2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jenni</author>
  </authors>
  <commentList>
    <comment ref="D1" authorId="0" shapeId="0" xr:uid="{00000000-0006-0000-0200-000001000000}">
      <text>
        <r>
          <rPr>
            <b/>
            <sz val="9"/>
            <color indexed="81"/>
            <rFont val="Tahoma"/>
            <family val="2"/>
          </rPr>
          <t xml:space="preserve">jennifer
</t>
        </r>
        <r>
          <rPr>
            <sz val="9"/>
            <color indexed="81"/>
            <rFont val="Tahoma"/>
            <family val="2"/>
          </rPr>
          <t>These were left at 2023 and 2024, so I updated them assuming that was correct?</t>
        </r>
      </text>
    </comment>
  </commentList>
</comments>
</file>

<file path=xl/sharedStrings.xml><?xml version="1.0" encoding="utf-8"?>
<sst xmlns="http://schemas.openxmlformats.org/spreadsheetml/2006/main" count="239" uniqueCount="140">
  <si>
    <t>Income</t>
  </si>
  <si>
    <t>Other income</t>
  </si>
  <si>
    <t>Expenses</t>
  </si>
  <si>
    <t>Website</t>
  </si>
  <si>
    <t>TOTAL</t>
  </si>
  <si>
    <t>Other</t>
  </si>
  <si>
    <t>b.</t>
  </si>
  <si>
    <t>c.</t>
  </si>
  <si>
    <t>d.</t>
  </si>
  <si>
    <t>OverDrive Vendor Fees</t>
  </si>
  <si>
    <t>a.</t>
  </si>
  <si>
    <t>f.</t>
  </si>
  <si>
    <t>g.</t>
  </si>
  <si>
    <t>h.</t>
  </si>
  <si>
    <t>i.</t>
  </si>
  <si>
    <t>Digital Newspaper Hosting</t>
  </si>
  <si>
    <t xml:space="preserve">Buying pool income </t>
  </si>
  <si>
    <t>Carryover*</t>
  </si>
  <si>
    <t>R &amp; D</t>
  </si>
  <si>
    <t>OverDrive Content</t>
  </si>
  <si>
    <t>Reserve/R&amp;D Fund Allocations</t>
  </si>
  <si>
    <t>Operating/project expenses</t>
  </si>
  <si>
    <t>Total expenditures in budget:</t>
  </si>
  <si>
    <t>Partner</t>
  </si>
  <si>
    <t>Difference</t>
  </si>
  <si>
    <t xml:space="preserve">Bridges </t>
  </si>
  <si>
    <t>Kenosha</t>
  </si>
  <si>
    <t>Manitowoc Calumet</t>
  </si>
  <si>
    <t>Milwaukee</t>
  </si>
  <si>
    <t>Monarch</t>
  </si>
  <si>
    <t>Nicolet</t>
  </si>
  <si>
    <t>Northern Waters</t>
  </si>
  <si>
    <t>OWLS</t>
  </si>
  <si>
    <t>South Central</t>
  </si>
  <si>
    <t>Southwest Wisconsin</t>
  </si>
  <si>
    <t>Winding Rivers</t>
  </si>
  <si>
    <t>Winnefox</t>
  </si>
  <si>
    <t>WVLS</t>
  </si>
  <si>
    <t>TOTALS</t>
  </si>
  <si>
    <t>Cost per share (rounded to nearest dollar):</t>
  </si>
  <si>
    <t>Base amount</t>
  </si>
  <si>
    <t>Base amount goes toward shared collection</t>
  </si>
  <si>
    <t>Holds reduction amount</t>
  </si>
  <si>
    <t>Holds reduction amount goes to Advantage</t>
  </si>
  <si>
    <t>Base amount**</t>
  </si>
  <si>
    <t>Overdrive Checkouts by system</t>
  </si>
  <si>
    <t>Usage</t>
  </si>
  <si>
    <t>% of usage</t>
  </si>
  <si>
    <t>% of population</t>
  </si>
  <si>
    <t>Share</t>
  </si>
  <si>
    <t>Holds placed</t>
  </si>
  <si>
    <t>% of holds placed</t>
  </si>
  <si>
    <t>Share (Advantage)</t>
  </si>
  <si>
    <t>Arrowhead Library System</t>
  </si>
  <si>
    <t>Bridges Library System</t>
  </si>
  <si>
    <t>Kenosha County Library System</t>
  </si>
  <si>
    <t>Lakeshores Library System</t>
  </si>
  <si>
    <t>Manitowoc-Calumet Library System</t>
  </si>
  <si>
    <t>Milwaukee Co. Federated Library System</t>
  </si>
  <si>
    <t>Monarch Library System</t>
  </si>
  <si>
    <t>Nicolet Federated Library System***</t>
  </si>
  <si>
    <t>Northern Waters Library Service</t>
  </si>
  <si>
    <t>Outagamie Waupaca Library System***</t>
  </si>
  <si>
    <t>South Central Library System</t>
  </si>
  <si>
    <t>Southwest Wisconsin Library System</t>
  </si>
  <si>
    <t>Winding Rivers Library System</t>
  </si>
  <si>
    <t>Winnefox Library System</t>
  </si>
  <si>
    <t xml:space="preserve">Wisconsin Valley Library Service </t>
  </si>
  <si>
    <t>Totals</t>
  </si>
  <si>
    <t>**Usage weighted at 75%; population weighted at 25%</t>
  </si>
  <si>
    <t>***Holds are for InfoSoup, split by ratio of usage</t>
  </si>
  <si>
    <t>percentage</t>
  </si>
  <si>
    <t>Base Amount %</t>
  </si>
  <si>
    <t>Change</t>
  </si>
  <si>
    <t>Base Amount Share</t>
  </si>
  <si>
    <t>Holds Reduction Share</t>
  </si>
  <si>
    <t>Wisconsin Valley Library Service</t>
  </si>
  <si>
    <t>Outagamie Waupaca Library System</t>
  </si>
  <si>
    <t>Nicolet Federated Library System</t>
  </si>
  <si>
    <t>in Total</t>
  </si>
  <si>
    <t>Total</t>
  </si>
  <si>
    <t>Buying pool</t>
  </si>
  <si>
    <t xml:space="preserve">Member shares </t>
  </si>
  <si>
    <t>Buying Pool</t>
  </si>
  <si>
    <t>Buying Pool Total</t>
  </si>
  <si>
    <t>IFLS</t>
  </si>
  <si>
    <t>IFLS Library System</t>
  </si>
  <si>
    <t>Population*</t>
  </si>
  <si>
    <t>Magazine amount</t>
  </si>
  <si>
    <t>Population</t>
  </si>
  <si>
    <t>Total Magazine Cost</t>
  </si>
  <si>
    <t>Magazine Cost</t>
  </si>
  <si>
    <t>Magazine Costs</t>
  </si>
  <si>
    <t>j.</t>
  </si>
  <si>
    <t>k.</t>
  </si>
  <si>
    <t>KEY</t>
  </si>
  <si>
    <t>Magazine Share</t>
  </si>
  <si>
    <t xml:space="preserve">*Extended county population from DPI </t>
  </si>
  <si>
    <t>2024 budget</t>
  </si>
  <si>
    <t xml:space="preserve">Partner shares </t>
  </si>
  <si>
    <t>2024 Partner Shares</t>
  </si>
  <si>
    <t>2024 Magazine Costs - using buying pool formula (25% population and 75% usage)</t>
  </si>
  <si>
    <t>2024 sources/information</t>
  </si>
  <si>
    <t>WiLS Rates 2023-2024</t>
  </si>
  <si>
    <t>Rate Type</t>
  </si>
  <si>
    <t>Standard</t>
  </si>
  <si>
    <t>Professional</t>
  </si>
  <si>
    <t>Total Cost</t>
  </si>
  <si>
    <t>Cost per hour</t>
  </si>
  <si>
    <t>Percentage</t>
  </si>
  <si>
    <t>Program management</t>
  </si>
  <si>
    <t>Reserve</t>
  </si>
  <si>
    <t>Usage W/o Advantage</t>
  </si>
  <si>
    <t>Nicolet 2022 circulation: 442,420</t>
  </si>
  <si>
    <t>OWLS 2022 circulation: 261,272</t>
  </si>
  <si>
    <t>Total circulations: 703,692</t>
  </si>
  <si>
    <t>Percentage of Nicolet circulation: 62.9%</t>
  </si>
  <si>
    <t>Percentage of OWLS circulation: 37.1%</t>
  </si>
  <si>
    <t>Total holds: 397,101</t>
  </si>
  <si>
    <t>62.9% (for Nicolet) of holds: 249,662</t>
  </si>
  <si>
    <t>37.1% (for OWLS) of holds: 147,439</t>
  </si>
  <si>
    <t>System</t>
  </si>
  <si>
    <t>projected hours</t>
  </si>
  <si>
    <t>*We do not assume any carryover in our budget. As of 2/28/2023, there is $59,000 in R&amp;D and $48,758.80 in Reserve.</t>
  </si>
  <si>
    <t>Prairie Lakes Library System*</t>
  </si>
  <si>
    <t>2023 ALS &amp; LLS Numbers</t>
  </si>
  <si>
    <t>Combined</t>
  </si>
  <si>
    <t>Prairie Lakes*</t>
  </si>
  <si>
    <t>Prairie Lakes Library System****</t>
  </si>
  <si>
    <t>****2023 shows ALS and LLS combined</t>
  </si>
  <si>
    <t>Partner shares</t>
  </si>
  <si>
    <t>Conference and Scholarship Costs</t>
  </si>
  <si>
    <t>2025 budget</t>
  </si>
  <si>
    <t>ContentDM Hosting</t>
  </si>
  <si>
    <t>Prairie Lakes Library System</t>
  </si>
  <si>
    <t>2025 Partner Shares</t>
  </si>
  <si>
    <t>2025 sources/information</t>
  </si>
  <si>
    <t>Project Management hours and cost in 2024</t>
  </si>
  <si>
    <t>Potential Increase suggestions for 2025</t>
  </si>
  <si>
    <t>*WiLS considers project duration, size, complexity, and audience when establishing rates for larger projects. Our rate structure and contracts are designed to focus on project outcomes and total cost, rather than building solely on project management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</si>
</sst>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_(&quot;$&quot;* #,##0_);_(&quot;$&quot;* \(#,##0\);_(&quot;$&quot;* &quot;-&quot;??_);_(@_)"/>
    <numFmt numFmtId="166" formatCode="&quot;$&quot;#,##0"/>
    <numFmt numFmtId="167" formatCode="_(* #,##0_);_(* \(#,##0\);_(* &quot;-&quot;??_);_(@_)"/>
    <numFmt numFmtId="168" formatCode="0.0%"/>
  </numFmts>
  <fonts count="30"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8"/>
      <name val="Calibri"/>
      <family val="2"/>
    </font>
    <font>
      <sz val="12"/>
      <color indexed="8"/>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sz val="11"/>
      <color indexed="8"/>
      <name val="Calibri"/>
      <family val="2"/>
    </font>
    <font>
      <sz val="11"/>
      <name val="Calibri"/>
      <family val="2"/>
    </font>
    <font>
      <sz val="10"/>
      <name val="Times New Roman"/>
      <family val="1"/>
    </font>
    <font>
      <sz val="11"/>
      <color theme="1"/>
      <name val="Calibri"/>
      <family val="2"/>
      <scheme val="minor"/>
    </font>
    <font>
      <sz val="8"/>
      <color theme="1"/>
      <name val="Arial"/>
      <family val="2"/>
    </font>
    <font>
      <u/>
      <sz val="11"/>
      <color theme="10"/>
      <name val="Calibri"/>
      <family val="2"/>
    </font>
    <font>
      <b/>
      <sz val="11"/>
      <color theme="1"/>
      <name val="Calibri"/>
      <family val="2"/>
      <scheme val="minor"/>
    </font>
    <font>
      <sz val="11"/>
      <color rgb="FFFF0000"/>
      <name val="Calibri"/>
      <family val="2"/>
      <scheme val="minor"/>
    </font>
    <font>
      <b/>
      <sz val="11"/>
      <color theme="1" tint="0.34998626667073579"/>
      <name val="Calibri"/>
      <family val="2"/>
      <scheme val="minor"/>
    </font>
    <font>
      <b/>
      <sz val="11"/>
      <name val="Calibri"/>
      <family val="2"/>
      <scheme val="minor"/>
    </font>
    <font>
      <sz val="11"/>
      <name val="Calibri"/>
      <family val="2"/>
      <scheme val="minor"/>
    </font>
    <font>
      <sz val="11"/>
      <color theme="1" tint="0.34998626667073579"/>
      <name val="Calibri"/>
      <family val="2"/>
      <scheme val="minor"/>
    </font>
    <font>
      <i/>
      <sz val="11"/>
      <name val="Calibri"/>
      <family val="2"/>
      <scheme val="minor"/>
    </font>
    <font>
      <b/>
      <sz val="14"/>
      <color theme="1"/>
      <name val="Calibri"/>
      <family val="2"/>
      <scheme val="minor"/>
    </font>
    <font>
      <i/>
      <sz val="11"/>
      <color theme="1"/>
      <name val="Calibri"/>
      <family val="2"/>
      <scheme val="minor"/>
    </font>
    <font>
      <b/>
      <sz val="11"/>
      <color rgb="FFFF0000"/>
      <name val="Calibri"/>
      <family val="2"/>
      <scheme val="minor"/>
    </font>
    <font>
      <sz val="11"/>
      <color rgb="FFFF0000"/>
      <name val="Calibri"/>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2"/>
        <bgColor indexed="64"/>
      </patternFill>
    </fill>
    <fill>
      <patternFill patternType="solid">
        <fgColor theme="4" tint="0.79998168889431442"/>
        <bgColor indexed="64"/>
      </patternFill>
    </fill>
  </fills>
  <borders count="22">
    <border>
      <left/>
      <right/>
      <top/>
      <bottom/>
      <diagonal/>
    </border>
    <border>
      <left/>
      <right/>
      <top/>
      <bottom style="thin">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4">
    <xf numFmtId="0" fontId="0" fillId="0" borderId="0"/>
    <xf numFmtId="43" fontId="1"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0" fontId="16" fillId="0" borderId="0" applyNumberFormat="0" applyFill="0" applyBorder="0" applyAlignment="0" applyProtection="0">
      <alignment vertical="top"/>
      <protection locked="0"/>
    </xf>
    <xf numFmtId="0" fontId="15" fillId="0" borderId="0"/>
    <xf numFmtId="9" fontId="11"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cellStyleXfs>
  <cellXfs count="178">
    <xf numFmtId="0" fontId="0" fillId="0" borderId="0" xfId="0"/>
    <xf numFmtId="0" fontId="0" fillId="0" borderId="0" xfId="0" applyAlignment="1">
      <alignment wrapText="1"/>
    </xf>
    <xf numFmtId="0" fontId="4" fillId="0" borderId="0" xfId="0" applyFont="1"/>
    <xf numFmtId="0" fontId="4" fillId="0" borderId="0" xfId="0" applyFont="1" applyAlignment="1">
      <alignment wrapText="1"/>
    </xf>
    <xf numFmtId="0" fontId="3" fillId="0" borderId="0" xfId="0" applyFont="1" applyAlignment="1">
      <alignment wrapText="1"/>
    </xf>
    <xf numFmtId="0" fontId="8" fillId="0" borderId="0" xfId="0" applyFont="1" applyAlignment="1">
      <alignment wrapText="1"/>
    </xf>
    <xf numFmtId="166" fontId="0" fillId="0" borderId="0" xfId="0" applyNumberFormat="1" applyAlignment="1">
      <alignment wrapText="1"/>
    </xf>
    <xf numFmtId="0" fontId="17" fillId="0" borderId="0" xfId="0" applyFont="1" applyAlignment="1">
      <alignment wrapText="1"/>
    </xf>
    <xf numFmtId="0" fontId="10" fillId="0" borderId="0" xfId="0" applyFont="1" applyAlignment="1">
      <alignment wrapText="1"/>
    </xf>
    <xf numFmtId="165" fontId="14" fillId="0" borderId="0" xfId="5" applyNumberFormat="1" applyFont="1" applyFill="1"/>
    <xf numFmtId="0" fontId="17" fillId="0" borderId="0" xfId="0" applyFont="1"/>
    <xf numFmtId="44" fontId="0" fillId="0" borderId="0" xfId="0" applyNumberFormat="1"/>
    <xf numFmtId="3" fontId="13" fillId="0" borderId="0" xfId="3" quotePrefix="1" applyNumberFormat="1" applyFont="1" applyFill="1" applyAlignment="1">
      <alignment horizontal="right"/>
    </xf>
    <xf numFmtId="44" fontId="17" fillId="0" borderId="0" xfId="0" applyNumberFormat="1" applyFont="1"/>
    <xf numFmtId="165" fontId="0" fillId="0" borderId="0" xfId="0" applyNumberFormat="1"/>
    <xf numFmtId="165" fontId="14" fillId="2" borderId="0" xfId="5" applyNumberFormat="1" applyFont="1" applyFill="1"/>
    <xf numFmtId="0" fontId="17" fillId="0" borderId="0" xfId="0" applyFont="1" applyAlignment="1">
      <alignment horizontal="center"/>
    </xf>
    <xf numFmtId="0" fontId="19" fillId="0" borderId="0" xfId="0" applyFont="1" applyAlignment="1">
      <alignment horizontal="center"/>
    </xf>
    <xf numFmtId="0" fontId="20" fillId="0" borderId="1" xfId="0" applyFont="1" applyBorder="1" applyAlignment="1">
      <alignment wrapText="1"/>
    </xf>
    <xf numFmtId="0" fontId="17" fillId="0" borderId="1" xfId="0" applyFont="1" applyBorder="1" applyAlignment="1">
      <alignment horizontal="center"/>
    </xf>
    <xf numFmtId="0" fontId="0" fillId="0" borderId="2" xfId="0" applyBorder="1" applyAlignment="1">
      <alignment wrapText="1"/>
    </xf>
    <xf numFmtId="165" fontId="0" fillId="3" borderId="0" xfId="0" applyNumberFormat="1" applyFill="1"/>
    <xf numFmtId="3" fontId="0" fillId="0" borderId="0" xfId="0" applyNumberFormat="1"/>
    <xf numFmtId="0" fontId="12" fillId="0" borderId="2" xfId="8" applyFont="1" applyBorder="1" applyAlignment="1" applyProtection="1">
      <alignment wrapText="1"/>
    </xf>
    <xf numFmtId="0" fontId="12" fillId="0" borderId="3" xfId="8" applyFont="1" applyBorder="1" applyAlignment="1" applyProtection="1">
      <alignment wrapText="1"/>
    </xf>
    <xf numFmtId="168" fontId="14" fillId="0" borderId="0" xfId="11" applyNumberFormat="1" applyFont="1" applyBorder="1"/>
    <xf numFmtId="0" fontId="18" fillId="0" borderId="0" xfId="0" applyFont="1" applyAlignment="1">
      <alignment wrapText="1"/>
    </xf>
    <xf numFmtId="0" fontId="21" fillId="0" borderId="0" xfId="0" applyFont="1" applyAlignment="1">
      <alignment wrapText="1"/>
    </xf>
    <xf numFmtId="0" fontId="20" fillId="0" borderId="0" xfId="0" applyFont="1" applyAlignment="1">
      <alignment wrapText="1"/>
    </xf>
    <xf numFmtId="168" fontId="14" fillId="0" borderId="0" xfId="13" applyNumberFormat="1" applyFont="1" applyBorder="1"/>
    <xf numFmtId="0" fontId="12" fillId="0" borderId="0" xfId="8" applyFont="1" applyBorder="1" applyAlignment="1" applyProtection="1">
      <alignment wrapText="1"/>
    </xf>
    <xf numFmtId="168" fontId="0" fillId="0" borderId="0" xfId="0" applyNumberFormat="1"/>
    <xf numFmtId="168" fontId="14" fillId="2" borderId="0" xfId="11" applyNumberFormat="1" applyFont="1" applyFill="1" applyBorder="1"/>
    <xf numFmtId="0" fontId="0" fillId="3" borderId="4" xfId="0" applyFill="1" applyBorder="1" applyAlignment="1">
      <alignment wrapText="1"/>
    </xf>
    <xf numFmtId="168" fontId="14" fillId="3" borderId="0" xfId="11" applyNumberFormat="1" applyFont="1" applyFill="1" applyBorder="1"/>
    <xf numFmtId="165" fontId="14" fillId="0" borderId="0" xfId="4" applyNumberFormat="1" applyFont="1" applyBorder="1"/>
    <xf numFmtId="0" fontId="0" fillId="0" borderId="5" xfId="0" applyBorder="1"/>
    <xf numFmtId="0" fontId="0" fillId="0" borderId="6" xfId="0" applyBorder="1"/>
    <xf numFmtId="0" fontId="0" fillId="0" borderId="7" xfId="0" applyBorder="1"/>
    <xf numFmtId="0" fontId="0" fillId="0" borderId="8" xfId="0" applyBorder="1"/>
    <xf numFmtId="165" fontId="14" fillId="3" borderId="0" xfId="4" applyNumberFormat="1" applyFont="1" applyFill="1"/>
    <xf numFmtId="165" fontId="14" fillId="2" borderId="0" xfId="4" applyNumberFormat="1" applyFont="1" applyFill="1" applyBorder="1"/>
    <xf numFmtId="0" fontId="0" fillId="2" borderId="9" xfId="0" applyFill="1" applyBorder="1" applyAlignment="1">
      <alignment wrapText="1"/>
    </xf>
    <xf numFmtId="6" fontId="0" fillId="0" borderId="0" xfId="0" applyNumberFormat="1"/>
    <xf numFmtId="10" fontId="22" fillId="0" borderId="0" xfId="0" applyNumberFormat="1" applyFont="1"/>
    <xf numFmtId="44" fontId="22" fillId="0" borderId="0" xfId="0" applyNumberFormat="1" applyFont="1"/>
    <xf numFmtId="9" fontId="14" fillId="0" borderId="0" xfId="11" applyFont="1" applyBorder="1"/>
    <xf numFmtId="0" fontId="17" fillId="0" borderId="1" xfId="0" applyFont="1" applyBorder="1"/>
    <xf numFmtId="165" fontId="17" fillId="0" borderId="1" xfId="0" applyNumberFormat="1" applyFont="1" applyBorder="1"/>
    <xf numFmtId="0" fontId="19" fillId="0" borderId="1" xfId="0" applyFont="1" applyBorder="1" applyAlignment="1">
      <alignment horizontal="center"/>
    </xf>
    <xf numFmtId="0" fontId="22" fillId="0" borderId="1" xfId="0" applyFont="1" applyBorder="1"/>
    <xf numFmtId="0" fontId="20" fillId="0" borderId="0" xfId="0" applyFont="1" applyAlignment="1">
      <alignment horizontal="center"/>
    </xf>
    <xf numFmtId="9" fontId="14" fillId="0" borderId="0" xfId="10" applyFont="1"/>
    <xf numFmtId="9" fontId="14" fillId="0" borderId="0" xfId="10" applyFont="1" applyBorder="1"/>
    <xf numFmtId="165" fontId="22" fillId="0" borderId="0" xfId="10" applyNumberFormat="1" applyFont="1" applyBorder="1"/>
    <xf numFmtId="0" fontId="0" fillId="0" borderId="3" xfId="0" applyBorder="1"/>
    <xf numFmtId="0" fontId="0" fillId="0" borderId="2" xfId="0" applyBorder="1"/>
    <xf numFmtId="0" fontId="0" fillId="0" borderId="1" xfId="0" applyBorder="1"/>
    <xf numFmtId="0" fontId="17" fillId="0" borderId="0" xfId="0" applyFont="1" applyAlignment="1">
      <alignment horizontal="left"/>
    </xf>
    <xf numFmtId="0" fontId="17" fillId="3" borderId="0" xfId="0" applyFont="1" applyFill="1"/>
    <xf numFmtId="165" fontId="14" fillId="3" borderId="0" xfId="5" applyNumberFormat="1" applyFont="1" applyFill="1"/>
    <xf numFmtId="168" fontId="14" fillId="0" borderId="0" xfId="10" applyNumberFormat="1" applyFont="1" applyFill="1" applyBorder="1"/>
    <xf numFmtId="168" fontId="14" fillId="0" borderId="0" xfId="13" applyNumberFormat="1" applyFont="1" applyFill="1" applyBorder="1"/>
    <xf numFmtId="165" fontId="14" fillId="3" borderId="0" xfId="4" applyNumberFormat="1" applyFont="1" applyFill="1" applyBorder="1"/>
    <xf numFmtId="0" fontId="10" fillId="0" borderId="0" xfId="0" applyFont="1" applyAlignment="1">
      <alignment horizontal="center" wrapText="1"/>
    </xf>
    <xf numFmtId="0" fontId="12" fillId="0" borderId="0" xfId="0" applyFont="1" applyAlignment="1">
      <alignment wrapText="1"/>
    </xf>
    <xf numFmtId="166" fontId="0" fillId="0" borderId="0" xfId="0" applyNumberFormat="1"/>
    <xf numFmtId="166" fontId="4" fillId="0" borderId="0" xfId="0" applyNumberFormat="1" applyFont="1" applyAlignment="1">
      <alignment wrapText="1"/>
    </xf>
    <xf numFmtId="166" fontId="14" fillId="0" borderId="0" xfId="4" applyNumberFormat="1" applyFont="1" applyFill="1" applyAlignment="1">
      <alignment wrapText="1"/>
    </xf>
    <xf numFmtId="166" fontId="14" fillId="0" borderId="0" xfId="4" applyNumberFormat="1" applyFont="1" applyFill="1" applyAlignment="1">
      <alignment horizontal="right" wrapText="1"/>
    </xf>
    <xf numFmtId="164" fontId="0" fillId="0" borderId="0" xfId="0" applyNumberFormat="1" applyAlignment="1">
      <alignment wrapText="1"/>
    </xf>
    <xf numFmtId="164" fontId="0" fillId="0" borderId="0" xfId="0" applyNumberFormat="1"/>
    <xf numFmtId="165" fontId="17" fillId="3" borderId="0" xfId="5" applyNumberFormat="1" applyFont="1" applyFill="1"/>
    <xf numFmtId="0" fontId="10" fillId="0" borderId="0" xfId="0" applyFont="1" applyAlignment="1">
      <alignment horizontal="center"/>
    </xf>
    <xf numFmtId="0" fontId="9" fillId="0" borderId="0" xfId="0" applyFont="1"/>
    <xf numFmtId="6" fontId="4" fillId="0" borderId="0" xfId="0" applyNumberFormat="1" applyFont="1"/>
    <xf numFmtId="0" fontId="6" fillId="0" borderId="0" xfId="0" applyFont="1"/>
    <xf numFmtId="44" fontId="7" fillId="0" borderId="0" xfId="4" applyFont="1" applyBorder="1"/>
    <xf numFmtId="6" fontId="9" fillId="0" borderId="0" xfId="4" applyNumberFormat="1" applyFont="1" applyBorder="1"/>
    <xf numFmtId="164" fontId="7" fillId="0" borderId="0" xfId="4" applyNumberFormat="1" applyFont="1" applyBorder="1"/>
    <xf numFmtId="166" fontId="6" fillId="0" borderId="0" xfId="0" applyNumberFormat="1" applyFont="1"/>
    <xf numFmtId="10" fontId="7" fillId="0" borderId="0" xfId="4" applyNumberFormat="1" applyFont="1" applyBorder="1"/>
    <xf numFmtId="164" fontId="1" fillId="0" borderId="0" xfId="4" applyNumberFormat="1" applyFont="1" applyBorder="1"/>
    <xf numFmtId="165" fontId="17" fillId="0" borderId="0" xfId="6" applyNumberFormat="1" applyFont="1" applyFill="1" applyBorder="1"/>
    <xf numFmtId="0" fontId="21" fillId="0" borderId="0" xfId="0" applyFont="1"/>
    <xf numFmtId="0" fontId="17" fillId="0" borderId="1" xfId="0" applyFont="1" applyBorder="1" applyAlignment="1">
      <alignment horizontal="center" vertical="top"/>
    </xf>
    <xf numFmtId="0" fontId="22" fillId="0" borderId="1" xfId="0" applyFont="1" applyBorder="1" applyAlignment="1">
      <alignment vertical="top"/>
    </xf>
    <xf numFmtId="165" fontId="22" fillId="0" borderId="0" xfId="13" applyNumberFormat="1" applyFont="1" applyBorder="1"/>
    <xf numFmtId="0" fontId="17" fillId="0" borderId="1" xfId="0" applyFont="1" applyBorder="1" applyAlignment="1">
      <alignment horizontal="center" vertical="top" wrapText="1"/>
    </xf>
    <xf numFmtId="0" fontId="19" fillId="0" borderId="1" xfId="0" applyFont="1" applyBorder="1" applyAlignment="1">
      <alignment horizontal="center" vertical="top"/>
    </xf>
    <xf numFmtId="165" fontId="14" fillId="0" borderId="0" xfId="6" applyNumberFormat="1" applyFont="1" applyFill="1" applyBorder="1"/>
    <xf numFmtId="0" fontId="20" fillId="0" borderId="1" xfId="0" applyFont="1" applyBorder="1"/>
    <xf numFmtId="165" fontId="14" fillId="3" borderId="0" xfId="4" applyNumberFormat="1" applyFont="1" applyFill="1" applyBorder="1" applyAlignment="1"/>
    <xf numFmtId="165" fontId="14" fillId="3" borderId="0" xfId="5" applyNumberFormat="1" applyFont="1" applyFill="1" applyAlignment="1"/>
    <xf numFmtId="0" fontId="12" fillId="0" borderId="2" xfId="8" applyFont="1" applyBorder="1" applyAlignment="1" applyProtection="1"/>
    <xf numFmtId="0" fontId="12" fillId="0" borderId="3" xfId="8" applyFont="1" applyBorder="1" applyAlignment="1" applyProtection="1"/>
    <xf numFmtId="0" fontId="0" fillId="3" borderId="5" xfId="0" applyFill="1" applyBorder="1"/>
    <xf numFmtId="0" fontId="17" fillId="0" borderId="7" xfId="0" applyFont="1" applyBorder="1"/>
    <xf numFmtId="0" fontId="0" fillId="0" borderId="6" xfId="0" applyBorder="1" applyAlignment="1">
      <alignment horizontal="left"/>
    </xf>
    <xf numFmtId="0" fontId="0" fillId="0" borderId="8" xfId="0" applyBorder="1" applyAlignment="1">
      <alignment horizontal="left"/>
    </xf>
    <xf numFmtId="165" fontId="17" fillId="2" borderId="0" xfId="5" applyNumberFormat="1" applyFont="1" applyFill="1"/>
    <xf numFmtId="168" fontId="14" fillId="3" borderId="0" xfId="13" applyNumberFormat="1" applyFont="1" applyFill="1" applyBorder="1"/>
    <xf numFmtId="0" fontId="0" fillId="3" borderId="9" xfId="0" applyFill="1" applyBorder="1" applyAlignment="1">
      <alignment wrapText="1"/>
    </xf>
    <xf numFmtId="0" fontId="0" fillId="2" borderId="4" xfId="0" applyFill="1" applyBorder="1" applyAlignment="1">
      <alignment wrapText="1"/>
    </xf>
    <xf numFmtId="0" fontId="25" fillId="0" borderId="10" xfId="0" applyFont="1" applyBorder="1"/>
    <xf numFmtId="165" fontId="25" fillId="0" borderId="10" xfId="0" applyNumberFormat="1" applyFont="1" applyBorder="1"/>
    <xf numFmtId="0" fontId="23" fillId="0" borderId="0" xfId="0" applyFont="1"/>
    <xf numFmtId="0" fontId="18" fillId="0" borderId="0" xfId="0" applyFont="1" applyAlignment="1">
      <alignment vertical="top" wrapText="1"/>
    </xf>
    <xf numFmtId="164" fontId="18" fillId="0" borderId="0" xfId="0" applyNumberFormat="1" applyFont="1"/>
    <xf numFmtId="0" fontId="18" fillId="0" borderId="0" xfId="0" applyFont="1" applyAlignment="1">
      <alignment vertical="top"/>
    </xf>
    <xf numFmtId="165" fontId="14" fillId="4" borderId="0" xfId="4" applyNumberFormat="1" applyFont="1" applyFill="1" applyBorder="1" applyAlignment="1"/>
    <xf numFmtId="165" fontId="14" fillId="4" borderId="0" xfId="5" applyNumberFormat="1" applyFont="1" applyFill="1" applyAlignment="1"/>
    <xf numFmtId="0" fontId="0" fillId="4" borderId="7" xfId="0" applyFill="1" applyBorder="1"/>
    <xf numFmtId="0" fontId="17" fillId="4" borderId="0" xfId="0" applyFont="1" applyFill="1"/>
    <xf numFmtId="165" fontId="14" fillId="4" borderId="0" xfId="5" applyNumberFormat="1" applyFont="1" applyFill="1"/>
    <xf numFmtId="44" fontId="17" fillId="4" borderId="0" xfId="5" applyFont="1" applyFill="1"/>
    <xf numFmtId="0" fontId="18" fillId="0" borderId="0" xfId="0" applyFont="1"/>
    <xf numFmtId="0" fontId="17" fillId="0" borderId="0" xfId="0" applyFont="1" applyAlignment="1">
      <alignment horizontal="left" vertical="center" wrapText="1"/>
    </xf>
    <xf numFmtId="0" fontId="0" fillId="0" borderId="0" xfId="0" applyAlignment="1">
      <alignment vertical="top" wrapText="1"/>
    </xf>
    <xf numFmtId="8" fontId="0" fillId="0" borderId="0" xfId="0" applyNumberFormat="1" applyAlignment="1">
      <alignment vertical="top" wrapText="1"/>
    </xf>
    <xf numFmtId="9" fontId="0" fillId="0" borderId="0" xfId="0" applyNumberFormat="1"/>
    <xf numFmtId="166" fontId="14" fillId="0" borderId="0" xfId="5" applyNumberFormat="1" applyFont="1" applyFill="1" applyAlignment="1">
      <alignment wrapText="1"/>
    </xf>
    <xf numFmtId="0" fontId="17" fillId="5" borderId="0" xfId="0" applyFont="1" applyFill="1" applyAlignment="1">
      <alignment horizontal="center"/>
    </xf>
    <xf numFmtId="0" fontId="17" fillId="5" borderId="1" xfId="0" applyFont="1" applyFill="1" applyBorder="1" applyAlignment="1">
      <alignment horizontal="center"/>
    </xf>
    <xf numFmtId="165" fontId="0" fillId="5" borderId="0" xfId="0" applyNumberFormat="1" applyFill="1"/>
    <xf numFmtId="44" fontId="0" fillId="5" borderId="0" xfId="0" applyNumberFormat="1" applyFill="1"/>
    <xf numFmtId="0" fontId="20" fillId="0" borderId="1" xfId="0" applyFont="1" applyBorder="1" applyAlignment="1">
      <alignment horizontal="center"/>
    </xf>
    <xf numFmtId="168" fontId="21" fillId="0" borderId="0" xfId="11" applyNumberFormat="1" applyFont="1" applyBorder="1"/>
    <xf numFmtId="165" fontId="0" fillId="3" borderId="0" xfId="4" applyNumberFormat="1" applyFont="1" applyFill="1" applyBorder="1" applyAlignment="1"/>
    <xf numFmtId="165" fontId="0" fillId="3" borderId="0" xfId="5" applyNumberFormat="1" applyFont="1" applyFill="1" applyAlignment="1"/>
    <xf numFmtId="168" fontId="0" fillId="3" borderId="0" xfId="11" applyNumberFormat="1" applyFont="1" applyFill="1" applyBorder="1"/>
    <xf numFmtId="168" fontId="0" fillId="3" borderId="0" xfId="13" applyNumberFormat="1" applyFont="1" applyFill="1" applyBorder="1"/>
    <xf numFmtId="165" fontId="0" fillId="3" borderId="0" xfId="4" applyNumberFormat="1" applyFont="1" applyFill="1" applyBorder="1"/>
    <xf numFmtId="165" fontId="0" fillId="3" borderId="0" xfId="4" applyNumberFormat="1" applyFont="1" applyFill="1"/>
    <xf numFmtId="166" fontId="0" fillId="6" borderId="0" xfId="0" applyNumberFormat="1" applyFill="1" applyAlignment="1">
      <alignment wrapText="1"/>
    </xf>
    <xf numFmtId="166" fontId="21" fillId="0" borderId="0" xfId="0" applyNumberFormat="1" applyFont="1" applyAlignment="1">
      <alignment wrapText="1"/>
    </xf>
    <xf numFmtId="165" fontId="0" fillId="0" borderId="0" xfId="5" applyNumberFormat="1" applyFont="1" applyFill="1" applyAlignment="1"/>
    <xf numFmtId="165" fontId="22" fillId="0" borderId="0" xfId="0" applyNumberFormat="1" applyFont="1" applyAlignment="1">
      <alignment horizontal="left"/>
    </xf>
    <xf numFmtId="0" fontId="17" fillId="0" borderId="1" xfId="0" applyFont="1" applyBorder="1" applyAlignment="1">
      <alignment vertical="center"/>
    </xf>
    <xf numFmtId="0" fontId="21" fillId="7" borderId="18" xfId="0" applyFont="1" applyFill="1" applyBorder="1" applyAlignment="1">
      <alignment wrapText="1"/>
    </xf>
    <xf numFmtId="0" fontId="21" fillId="7" borderId="19" xfId="0" applyFont="1" applyFill="1" applyBorder="1" applyAlignment="1">
      <alignment wrapText="1"/>
    </xf>
    <xf numFmtId="0" fontId="23" fillId="7" borderId="19" xfId="0" applyFont="1" applyFill="1" applyBorder="1" applyAlignment="1">
      <alignment wrapText="1"/>
    </xf>
    <xf numFmtId="0" fontId="21" fillId="7" borderId="17" xfId="0" applyFont="1" applyFill="1" applyBorder="1" applyAlignment="1">
      <alignment wrapText="1"/>
    </xf>
    <xf numFmtId="0" fontId="0" fillId="8" borderId="11" xfId="0" applyFill="1" applyBorder="1"/>
    <xf numFmtId="0" fontId="0" fillId="8" borderId="12" xfId="0" applyFill="1" applyBorder="1"/>
    <xf numFmtId="0" fontId="25" fillId="8" borderId="13" xfId="0" applyFont="1" applyFill="1" applyBorder="1"/>
    <xf numFmtId="0" fontId="25" fillId="8" borderId="14" xfId="0" applyFont="1" applyFill="1" applyBorder="1"/>
    <xf numFmtId="0" fontId="0" fillId="8" borderId="13" xfId="0" applyFill="1" applyBorder="1"/>
    <xf numFmtId="0" fontId="0" fillId="8" borderId="15" xfId="0" applyFill="1" applyBorder="1"/>
    <xf numFmtId="165" fontId="0" fillId="8" borderId="14" xfId="4" applyNumberFormat="1" applyFont="1" applyFill="1" applyBorder="1"/>
    <xf numFmtId="165" fontId="0" fillId="8" borderId="16" xfId="4" applyNumberFormat="1" applyFont="1" applyFill="1" applyBorder="1"/>
    <xf numFmtId="166" fontId="21" fillId="0" borderId="0" xfId="4" applyNumberFormat="1" applyFont="1" applyFill="1" applyAlignment="1">
      <alignment wrapText="1"/>
    </xf>
    <xf numFmtId="166" fontId="21" fillId="0" borderId="0" xfId="4" applyNumberFormat="1" applyFont="1" applyFill="1" applyAlignment="1">
      <alignment horizontal="right" wrapText="1"/>
    </xf>
    <xf numFmtId="0" fontId="26" fillId="0" borderId="0" xfId="0" applyFont="1" applyAlignment="1">
      <alignment horizontal="center"/>
    </xf>
    <xf numFmtId="0" fontId="26" fillId="0" borderId="1" xfId="0" applyFont="1" applyBorder="1" applyAlignment="1">
      <alignment horizontal="center"/>
    </xf>
    <xf numFmtId="167" fontId="18" fillId="0" borderId="0" xfId="2" applyNumberFormat="1" applyFont="1" applyFill="1" applyBorder="1"/>
    <xf numFmtId="167" fontId="18" fillId="0" borderId="0" xfId="1" applyNumberFormat="1" applyFont="1" applyBorder="1"/>
    <xf numFmtId="167" fontId="18" fillId="0" borderId="0" xfId="2" applyNumberFormat="1" applyFont="1" applyBorder="1"/>
    <xf numFmtId="3" fontId="18" fillId="0" borderId="0" xfId="0" applyNumberFormat="1" applyFont="1"/>
    <xf numFmtId="165" fontId="22" fillId="2" borderId="0" xfId="4" applyNumberFormat="1" applyFont="1" applyFill="1" applyBorder="1"/>
    <xf numFmtId="0" fontId="26" fillId="0" borderId="1" xfId="0" applyFont="1" applyBorder="1" applyAlignment="1">
      <alignment horizontal="center" vertical="top"/>
    </xf>
    <xf numFmtId="0" fontId="26" fillId="0" borderId="0" xfId="0" applyFont="1" applyAlignment="1">
      <alignment horizontal="center" wrapText="1"/>
    </xf>
    <xf numFmtId="0" fontId="26" fillId="0" borderId="1" xfId="0" applyFont="1" applyBorder="1" applyAlignment="1">
      <alignment wrapText="1"/>
    </xf>
    <xf numFmtId="168" fontId="18" fillId="2" borderId="0" xfId="11" applyNumberFormat="1" applyFont="1" applyFill="1" applyBorder="1"/>
    <xf numFmtId="0" fontId="27" fillId="0" borderId="0" xfId="8" applyFont="1" applyBorder="1" applyAlignment="1" applyProtection="1">
      <alignment wrapText="1"/>
    </xf>
    <xf numFmtId="9" fontId="18" fillId="0" borderId="0" xfId="10" applyFont="1"/>
    <xf numFmtId="168" fontId="18" fillId="0" borderId="0" xfId="11" applyNumberFormat="1" applyFont="1" applyBorder="1"/>
    <xf numFmtId="9" fontId="18" fillId="0" borderId="0" xfId="10" applyFont="1" applyBorder="1"/>
    <xf numFmtId="0" fontId="0" fillId="6" borderId="0" xfId="0" applyFill="1" applyAlignment="1">
      <alignment vertical="top" wrapText="1"/>
    </xf>
    <xf numFmtId="0" fontId="18" fillId="0" borderId="0" xfId="0" applyFont="1" applyAlignment="1">
      <alignment vertical="top" wrapText="1"/>
    </xf>
    <xf numFmtId="0" fontId="21" fillId="0" borderId="0" xfId="0" applyFont="1" applyAlignment="1">
      <alignment vertical="top"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24" fillId="0" borderId="1" xfId="0" applyFont="1" applyBorder="1" applyAlignment="1">
      <alignment horizontal="left" wrapText="1"/>
    </xf>
    <xf numFmtId="0" fontId="17" fillId="8" borderId="20" xfId="0" applyFont="1" applyFill="1" applyBorder="1" applyAlignment="1">
      <alignment horizontal="center"/>
    </xf>
    <xf numFmtId="0" fontId="17" fillId="8" borderId="21" xfId="0" applyFont="1" applyFill="1" applyBorder="1" applyAlignment="1">
      <alignment horizontal="center"/>
    </xf>
    <xf numFmtId="0" fontId="17" fillId="0" borderId="1" xfId="0" applyFont="1" applyBorder="1" applyAlignment="1">
      <alignment horizontal="left"/>
    </xf>
    <xf numFmtId="0" fontId="0" fillId="0" borderId="0" xfId="0" applyAlignment="1">
      <alignment horizontal="left" wrapText="1"/>
    </xf>
  </cellXfs>
  <cellStyles count="14">
    <cellStyle name="Comma 2" xfId="1" xr:uid="{00000000-0005-0000-0000-000000000000}"/>
    <cellStyle name="Comma 3" xfId="2" xr:uid="{00000000-0005-0000-0000-000001000000}"/>
    <cellStyle name="Comma 4" xfId="3" xr:uid="{00000000-0005-0000-0000-000002000000}"/>
    <cellStyle name="Currency" xfId="4" builtinId="4"/>
    <cellStyle name="Currency 2" xfId="5" xr:uid="{00000000-0005-0000-0000-000004000000}"/>
    <cellStyle name="Currency 3" xfId="6" xr:uid="{00000000-0005-0000-0000-000005000000}"/>
    <cellStyle name="Currency 4" xfId="7" xr:uid="{00000000-0005-0000-0000-000006000000}"/>
    <cellStyle name="Hyperlink" xfId="8" builtinId="8"/>
    <cellStyle name="Normal" xfId="0" builtinId="0"/>
    <cellStyle name="Normal 2" xfId="9" xr:uid="{00000000-0005-0000-0000-000009000000}"/>
    <cellStyle name="Percent" xfId="10" builtinId="5"/>
    <cellStyle name="Percent 2" xfId="11" xr:uid="{00000000-0005-0000-0000-00000B000000}"/>
    <cellStyle name="Percent 3" xfId="12" xr:uid="{00000000-0005-0000-0000-00000C000000}"/>
    <cellStyle name="Percent 4" xfId="13" xr:uid="{00000000-0005-0000-0000-00000D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63"/>
  <sheetViews>
    <sheetView tabSelected="1" view="pageLayout" zoomScaleNormal="100" workbookViewId="0">
      <selection activeCell="B2" sqref="B2"/>
    </sheetView>
  </sheetViews>
  <sheetFormatPr defaultRowHeight="14.4" x14ac:dyDescent="0.3"/>
  <cols>
    <col min="1" max="1" width="3.6640625" bestFit="1" customWidth="1"/>
    <col min="2" max="2" width="34.109375" style="1" customWidth="1"/>
    <col min="3" max="3" width="22.44140625" style="1" customWidth="1"/>
    <col min="4" max="4" width="20.6640625" style="1" customWidth="1"/>
    <col min="5" max="5" width="15.5546875" bestFit="1" customWidth="1"/>
    <col min="6" max="6" width="14" bestFit="1" customWidth="1"/>
    <col min="7" max="7" width="13.33203125" bestFit="1" customWidth="1"/>
    <col min="8" max="9" width="13.33203125" customWidth="1"/>
    <col min="10" max="10" width="54.6640625" style="1" customWidth="1"/>
  </cols>
  <sheetData>
    <row r="2" spans="1:10" ht="18" x14ac:dyDescent="0.35">
      <c r="C2" s="64" t="s">
        <v>132</v>
      </c>
      <c r="D2" s="64" t="s">
        <v>98</v>
      </c>
      <c r="E2" s="10"/>
    </row>
    <row r="3" spans="1:10" ht="18" x14ac:dyDescent="0.35">
      <c r="C3" s="65"/>
      <c r="D3" s="65"/>
      <c r="E3" s="73"/>
      <c r="F3" s="73"/>
      <c r="H3" s="74"/>
      <c r="I3" s="74"/>
    </row>
    <row r="4" spans="1:10" ht="15.6" x14ac:dyDescent="0.3">
      <c r="C4" s="3"/>
      <c r="D4" s="3"/>
      <c r="E4" s="2"/>
      <c r="F4" s="2"/>
      <c r="G4" s="2"/>
      <c r="H4" s="75"/>
      <c r="I4" s="76"/>
      <c r="J4" s="3"/>
    </row>
    <row r="5" spans="1:10" ht="18" x14ac:dyDescent="0.35">
      <c r="B5" s="8" t="s">
        <v>0</v>
      </c>
      <c r="F5" s="77"/>
      <c r="G5" s="77"/>
      <c r="H5" s="78"/>
      <c r="I5" s="77"/>
    </row>
    <row r="6" spans="1:10" ht="19.5" customHeight="1" x14ac:dyDescent="0.3">
      <c r="A6" t="s">
        <v>10</v>
      </c>
      <c r="B6" s="1" t="s">
        <v>17</v>
      </c>
      <c r="C6" s="6"/>
      <c r="D6" s="6">
        <v>0</v>
      </c>
      <c r="E6" s="79"/>
      <c r="F6" s="79"/>
      <c r="G6" s="79"/>
      <c r="H6" s="79"/>
      <c r="I6" s="79"/>
    </row>
    <row r="7" spans="1:10" ht="17.25" customHeight="1" x14ac:dyDescent="0.3">
      <c r="A7" t="s">
        <v>6</v>
      </c>
      <c r="B7" s="1" t="s">
        <v>130</v>
      </c>
      <c r="C7" s="66">
        <f>SUM(C16:C17,C20:C23,C26:C28)</f>
        <v>121680.25</v>
      </c>
      <c r="D7" s="66">
        <f>SUM(D16:D17,D20:D22,D26:D28)</f>
        <v>117214.5</v>
      </c>
      <c r="E7" s="79"/>
      <c r="F7" s="79"/>
      <c r="G7" s="79"/>
      <c r="H7" s="79"/>
      <c r="I7" s="79"/>
    </row>
    <row r="8" spans="1:10" x14ac:dyDescent="0.3">
      <c r="A8" t="s">
        <v>7</v>
      </c>
      <c r="B8" s="1" t="s">
        <v>16</v>
      </c>
      <c r="C8" s="6">
        <v>1541110</v>
      </c>
      <c r="D8" s="6">
        <v>1474388</v>
      </c>
      <c r="E8" s="79"/>
      <c r="F8" s="79"/>
      <c r="G8" s="79"/>
      <c r="H8" s="79"/>
      <c r="I8" s="79"/>
    </row>
    <row r="9" spans="1:10" x14ac:dyDescent="0.3">
      <c r="A9" t="s">
        <v>8</v>
      </c>
      <c r="B9" s="1" t="s">
        <v>92</v>
      </c>
      <c r="C9" s="6">
        <v>100000</v>
      </c>
      <c r="D9" s="6">
        <v>100000</v>
      </c>
      <c r="E9" s="79"/>
      <c r="F9" s="79"/>
      <c r="G9" s="79"/>
      <c r="H9" s="79"/>
      <c r="I9" s="79"/>
    </row>
    <row r="10" spans="1:10" ht="19.5" customHeight="1" x14ac:dyDescent="0.3">
      <c r="A10" t="s">
        <v>11</v>
      </c>
      <c r="B10" s="1" t="s">
        <v>1</v>
      </c>
      <c r="C10" s="6"/>
      <c r="D10" s="6">
        <v>0</v>
      </c>
      <c r="E10" s="79"/>
      <c r="F10" s="79"/>
      <c r="G10" s="79"/>
      <c r="H10" s="79"/>
      <c r="I10" s="79"/>
    </row>
    <row r="11" spans="1:10" x14ac:dyDescent="0.3">
      <c r="B11" s="4" t="s">
        <v>4</v>
      </c>
      <c r="C11" s="66">
        <f>SUM(C6:C10)</f>
        <v>1762790.25</v>
      </c>
      <c r="D11" s="66">
        <f>SUM(D6:D10)</f>
        <v>1691602.5</v>
      </c>
      <c r="E11" s="79"/>
      <c r="F11" s="79"/>
      <c r="G11" s="79"/>
      <c r="H11" s="79"/>
      <c r="I11" s="79"/>
    </row>
    <row r="12" spans="1:10" ht="18" customHeight="1" x14ac:dyDescent="0.3">
      <c r="C12" s="6"/>
      <c r="D12" s="6"/>
      <c r="E12" s="71"/>
      <c r="F12" s="71"/>
      <c r="G12" s="71"/>
      <c r="H12" s="71"/>
      <c r="I12" s="71"/>
    </row>
    <row r="13" spans="1:10" ht="18" x14ac:dyDescent="0.35">
      <c r="A13" s="2"/>
      <c r="B13" s="8" t="s">
        <v>2</v>
      </c>
      <c r="C13" s="67"/>
      <c r="D13" s="67"/>
    </row>
    <row r="14" spans="1:10" ht="15.6" x14ac:dyDescent="0.3">
      <c r="A14" s="2"/>
      <c r="B14" s="3"/>
      <c r="C14" s="67"/>
      <c r="D14" s="67"/>
    </row>
    <row r="15" spans="1:10" s="2" customFormat="1" ht="15.6" x14ac:dyDescent="0.3">
      <c r="B15" s="7" t="s">
        <v>21</v>
      </c>
      <c r="C15" s="67"/>
      <c r="D15" s="67"/>
      <c r="G15" s="3"/>
      <c r="H15" s="3"/>
      <c r="J15" s="3"/>
    </row>
    <row r="16" spans="1:10" x14ac:dyDescent="0.3">
      <c r="A16" t="s">
        <v>10</v>
      </c>
      <c r="B16" s="1" t="s">
        <v>110</v>
      </c>
      <c r="C16" s="121">
        <v>82640.25</v>
      </c>
      <c r="D16" s="121">
        <v>79447.5</v>
      </c>
      <c r="E16" s="79"/>
      <c r="F16" s="79"/>
      <c r="G16" s="81"/>
      <c r="H16" s="81"/>
      <c r="I16" s="81"/>
    </row>
    <row r="17" spans="1:10" ht="15" customHeight="1" x14ac:dyDescent="0.3">
      <c r="A17" t="s">
        <v>6</v>
      </c>
      <c r="B17" s="1" t="s">
        <v>9</v>
      </c>
      <c r="C17" s="68">
        <v>18000</v>
      </c>
      <c r="D17" s="68">
        <v>18000</v>
      </c>
      <c r="E17" s="79"/>
      <c r="F17" s="79"/>
      <c r="G17" s="81"/>
      <c r="H17" s="81"/>
      <c r="I17" s="81"/>
    </row>
    <row r="18" spans="1:10" x14ac:dyDescent="0.3">
      <c r="A18" t="s">
        <v>7</v>
      </c>
      <c r="B18" s="1" t="s">
        <v>19</v>
      </c>
      <c r="C18" s="6">
        <v>1541110</v>
      </c>
      <c r="D18" s="6">
        <v>1474388</v>
      </c>
      <c r="E18" s="79"/>
      <c r="F18" s="79"/>
      <c r="G18" s="81"/>
      <c r="H18" s="81"/>
      <c r="I18" s="81"/>
    </row>
    <row r="19" spans="1:10" x14ac:dyDescent="0.3">
      <c r="A19" t="s">
        <v>8</v>
      </c>
      <c r="B19" s="1" t="s">
        <v>92</v>
      </c>
      <c r="C19" s="134">
        <v>100000</v>
      </c>
      <c r="D19" s="135">
        <v>100000</v>
      </c>
      <c r="E19" s="79"/>
      <c r="F19" s="79"/>
      <c r="G19" s="81"/>
      <c r="H19" s="81"/>
      <c r="I19" s="81"/>
    </row>
    <row r="20" spans="1:10" x14ac:dyDescent="0.3">
      <c r="A20" t="s">
        <v>11</v>
      </c>
      <c r="B20" s="1" t="s">
        <v>15</v>
      </c>
      <c r="C20" s="66">
        <v>0</v>
      </c>
      <c r="D20" s="66">
        <v>0</v>
      </c>
      <c r="E20" s="79"/>
      <c r="F20" s="79"/>
      <c r="G20" s="81"/>
      <c r="H20" s="81"/>
      <c r="I20" s="81"/>
    </row>
    <row r="21" spans="1:10" x14ac:dyDescent="0.3">
      <c r="A21" t="s">
        <v>12</v>
      </c>
      <c r="B21" s="1" t="s">
        <v>133</v>
      </c>
      <c r="C21" s="66">
        <v>3750</v>
      </c>
      <c r="D21" s="66">
        <v>3750</v>
      </c>
      <c r="E21" s="79"/>
      <c r="F21" s="79"/>
      <c r="G21" s="81"/>
      <c r="H21" s="81"/>
      <c r="I21" s="81"/>
    </row>
    <row r="22" spans="1:10" s="2" customFormat="1" ht="15.6" x14ac:dyDescent="0.3">
      <c r="A22" t="s">
        <v>13</v>
      </c>
      <c r="B22" s="1" t="s">
        <v>3</v>
      </c>
      <c r="C22" s="68">
        <v>1040</v>
      </c>
      <c r="D22" s="68">
        <v>1017</v>
      </c>
      <c r="E22" s="80"/>
      <c r="G22" s="3"/>
      <c r="H22" s="3"/>
      <c r="J22" s="3"/>
    </row>
    <row r="23" spans="1:10" s="2" customFormat="1" ht="15.6" x14ac:dyDescent="0.3">
      <c r="A23" t="s">
        <v>14</v>
      </c>
      <c r="B23" s="1" t="s">
        <v>131</v>
      </c>
      <c r="C23" s="68">
        <v>1250</v>
      </c>
      <c r="D23" s="68">
        <v>1250</v>
      </c>
      <c r="E23" s="80"/>
      <c r="G23" s="3"/>
      <c r="H23" s="3"/>
      <c r="J23" s="3"/>
    </row>
    <row r="24" spans="1:10" x14ac:dyDescent="0.3">
      <c r="C24" s="66"/>
      <c r="D24" s="66"/>
      <c r="E24" s="79"/>
      <c r="F24" s="79"/>
      <c r="G24" s="81"/>
      <c r="H24" s="81"/>
      <c r="I24" s="81"/>
    </row>
    <row r="25" spans="1:10" x14ac:dyDescent="0.3">
      <c r="B25" s="7" t="s">
        <v>20</v>
      </c>
      <c r="C25" s="66"/>
      <c r="D25" s="66"/>
      <c r="E25" s="79"/>
      <c r="F25" s="79"/>
      <c r="G25" s="81"/>
      <c r="H25" s="81"/>
      <c r="I25" s="81"/>
    </row>
    <row r="26" spans="1:10" x14ac:dyDescent="0.3">
      <c r="A26" t="s">
        <v>14</v>
      </c>
      <c r="B26" s="1" t="s">
        <v>18</v>
      </c>
      <c r="C26" s="151">
        <v>10000</v>
      </c>
      <c r="D26" s="68">
        <v>10000</v>
      </c>
      <c r="E26" s="79"/>
      <c r="F26" s="79"/>
      <c r="G26" s="81"/>
      <c r="H26" s="81"/>
      <c r="I26" s="81"/>
    </row>
    <row r="27" spans="1:10" ht="18" customHeight="1" x14ac:dyDescent="0.3">
      <c r="A27" t="s">
        <v>93</v>
      </c>
      <c r="B27" s="1" t="s">
        <v>111</v>
      </c>
      <c r="C27" s="152">
        <v>5000</v>
      </c>
      <c r="D27" s="69">
        <v>5000</v>
      </c>
      <c r="E27" s="79"/>
      <c r="F27" s="79"/>
      <c r="G27" s="81"/>
      <c r="H27" s="81"/>
      <c r="I27" s="81"/>
    </row>
    <row r="28" spans="1:10" ht="18" customHeight="1" x14ac:dyDescent="0.3">
      <c r="A28" t="s">
        <v>94</v>
      </c>
      <c r="B28" s="1" t="s">
        <v>5</v>
      </c>
      <c r="C28" s="6">
        <v>0</v>
      </c>
      <c r="D28" s="6">
        <v>0</v>
      </c>
      <c r="E28" s="79"/>
      <c r="F28" s="79"/>
      <c r="G28" s="81"/>
      <c r="H28" s="81"/>
      <c r="I28" s="81"/>
    </row>
    <row r="29" spans="1:10" ht="18" customHeight="1" x14ac:dyDescent="0.3">
      <c r="B29" s="5" t="s">
        <v>4</v>
      </c>
      <c r="C29" s="66">
        <f>SUM(C16:C28)</f>
        <v>1762790.25</v>
      </c>
      <c r="D29" s="66">
        <f>SUM(D16:D28)</f>
        <v>1692852.5</v>
      </c>
      <c r="E29" s="79"/>
      <c r="F29" s="79"/>
      <c r="G29" s="81"/>
      <c r="H29" s="81"/>
      <c r="I29" s="81"/>
    </row>
    <row r="30" spans="1:10" ht="18" customHeight="1" x14ac:dyDescent="0.3">
      <c r="C30" s="70"/>
      <c r="D30" s="70"/>
      <c r="E30" s="79"/>
      <c r="F30" s="79"/>
      <c r="G30" s="81"/>
      <c r="H30" s="81"/>
      <c r="I30" s="81"/>
    </row>
    <row r="31" spans="1:10" ht="46.2" customHeight="1" x14ac:dyDescent="0.3">
      <c r="B31" s="168" t="s">
        <v>123</v>
      </c>
      <c r="C31" s="169"/>
      <c r="D31" s="169"/>
      <c r="E31" s="82"/>
      <c r="F31" s="79"/>
      <c r="G31" s="81"/>
      <c r="H31" s="81"/>
      <c r="I31" s="81"/>
    </row>
    <row r="32" spans="1:10" ht="61.95" customHeight="1" x14ac:dyDescent="0.3">
      <c r="B32" s="170"/>
      <c r="C32" s="170"/>
      <c r="D32" s="108"/>
      <c r="F32" s="43"/>
    </row>
    <row r="33" spans="2:10" ht="56.4" customHeight="1" x14ac:dyDescent="0.3">
      <c r="B33" s="107"/>
      <c r="C33" s="109"/>
      <c r="D33" s="108"/>
      <c r="E33" s="71"/>
    </row>
    <row r="42" spans="2:10" ht="15.6" x14ac:dyDescent="0.3">
      <c r="B42" s="3"/>
      <c r="J42"/>
    </row>
    <row r="45" spans="2:10" x14ac:dyDescent="0.3">
      <c r="C45" s="6"/>
      <c r="D45" s="6"/>
      <c r="J45"/>
    </row>
    <row r="46" spans="2:10" x14ac:dyDescent="0.3">
      <c r="C46" s="6"/>
      <c r="D46" s="6"/>
      <c r="J46"/>
    </row>
    <row r="47" spans="2:10" x14ac:dyDescent="0.3">
      <c r="C47" s="6"/>
      <c r="D47" s="6"/>
      <c r="J47"/>
    </row>
    <row r="48" spans="2:10" x14ac:dyDescent="0.3">
      <c r="B48"/>
      <c r="C48" s="6"/>
      <c r="D48" s="6"/>
      <c r="J48"/>
    </row>
    <row r="49" spans="2:10" x14ac:dyDescent="0.3">
      <c r="B49"/>
      <c r="C49" s="6"/>
      <c r="D49" s="6"/>
      <c r="J49"/>
    </row>
    <row r="50" spans="2:10" x14ac:dyDescent="0.3">
      <c r="B50"/>
      <c r="C50" s="6"/>
      <c r="D50" s="6"/>
      <c r="J50"/>
    </row>
    <row r="51" spans="2:10" x14ac:dyDescent="0.3">
      <c r="B51"/>
      <c r="C51" s="6"/>
      <c r="D51" s="6"/>
      <c r="J51"/>
    </row>
    <row r="52" spans="2:10" x14ac:dyDescent="0.3">
      <c r="B52"/>
      <c r="C52" s="6"/>
      <c r="D52" s="6"/>
      <c r="J52"/>
    </row>
    <row r="53" spans="2:10" x14ac:dyDescent="0.3">
      <c r="B53"/>
      <c r="C53" s="6"/>
      <c r="D53" s="6"/>
      <c r="J53"/>
    </row>
    <row r="54" spans="2:10" x14ac:dyDescent="0.3">
      <c r="B54"/>
      <c r="C54" s="6"/>
      <c r="D54" s="6"/>
      <c r="J54"/>
    </row>
    <row r="55" spans="2:10" x14ac:dyDescent="0.3">
      <c r="B55"/>
      <c r="C55" s="6"/>
      <c r="D55" s="6"/>
      <c r="J55"/>
    </row>
    <row r="56" spans="2:10" x14ac:dyDescent="0.3">
      <c r="B56"/>
      <c r="C56" s="6"/>
      <c r="D56" s="6"/>
      <c r="J56"/>
    </row>
    <row r="57" spans="2:10" x14ac:dyDescent="0.3">
      <c r="B57"/>
      <c r="C57" s="6"/>
      <c r="D57" s="6"/>
      <c r="J57"/>
    </row>
    <row r="58" spans="2:10" x14ac:dyDescent="0.3">
      <c r="B58"/>
      <c r="C58" s="6"/>
      <c r="D58" s="6"/>
      <c r="J58"/>
    </row>
    <row r="59" spans="2:10" x14ac:dyDescent="0.3">
      <c r="B59"/>
      <c r="C59" s="6"/>
      <c r="D59" s="6"/>
      <c r="J59"/>
    </row>
    <row r="60" spans="2:10" x14ac:dyDescent="0.3">
      <c r="B60"/>
      <c r="C60" s="6"/>
      <c r="D60" s="6"/>
      <c r="J60"/>
    </row>
    <row r="61" spans="2:10" x14ac:dyDescent="0.3">
      <c r="B61"/>
      <c r="C61" s="6"/>
      <c r="D61" s="6"/>
      <c r="J61"/>
    </row>
    <row r="63" spans="2:10" x14ac:dyDescent="0.3">
      <c r="B63"/>
      <c r="C63" s="6"/>
      <c r="D63" s="6"/>
      <c r="J63"/>
    </row>
  </sheetData>
  <mergeCells count="2">
    <mergeCell ref="C31:D31"/>
    <mergeCell ref="B32:C32"/>
  </mergeCells>
  <phoneticPr fontId="5" type="noConversion"/>
  <printOptions gridLines="1"/>
  <pageMargins left="0.25" right="0.25" top="0.75" bottom="0.75" header="0.3" footer="0.3"/>
  <pageSetup orientation="portrait" r:id="rId1"/>
  <headerFooter>
    <oddHeader xml:space="preserve">&amp;CWPLC Budget 
2025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zoomScale="90" zoomScaleNormal="90" workbookViewId="0">
      <selection activeCell="C7" sqref="C7"/>
    </sheetView>
  </sheetViews>
  <sheetFormatPr defaultColWidth="9.33203125" defaultRowHeight="14.4" x14ac:dyDescent="0.3"/>
  <cols>
    <col min="1" max="1" width="55.33203125" style="1" customWidth="1"/>
    <col min="2" max="2" width="0" hidden="1" customWidth="1"/>
    <col min="3" max="3" width="19" bestFit="1" customWidth="1"/>
    <col min="4" max="4" width="15.33203125" customWidth="1"/>
    <col min="5" max="5" width="17.33203125" customWidth="1"/>
    <col min="6" max="6" width="19" bestFit="1" customWidth="1"/>
    <col min="7" max="7" width="18.33203125" customWidth="1"/>
    <col min="8" max="8" width="17.6640625" customWidth="1"/>
    <col min="9" max="9" width="13.44140625" customWidth="1"/>
  </cols>
  <sheetData>
    <row r="1" spans="1:9" x14ac:dyDescent="0.3">
      <c r="C1" s="33"/>
      <c r="D1" s="36">
        <v>2022</v>
      </c>
    </row>
    <row r="2" spans="1:9" ht="15" thickBot="1" x14ac:dyDescent="0.35">
      <c r="B2" s="10"/>
      <c r="C2" s="42"/>
      <c r="D2" s="38">
        <v>2021</v>
      </c>
    </row>
    <row r="3" spans="1:9" x14ac:dyDescent="0.3">
      <c r="B3" s="10"/>
      <c r="C3" s="1"/>
    </row>
    <row r="5" spans="1:9" x14ac:dyDescent="0.3">
      <c r="C5" s="58">
        <v>2022</v>
      </c>
      <c r="D5" s="58">
        <v>2022</v>
      </c>
      <c r="E5" s="58">
        <v>2022</v>
      </c>
      <c r="F5" s="58">
        <v>2021</v>
      </c>
      <c r="G5" s="58">
        <v>2021</v>
      </c>
      <c r="H5" s="58">
        <v>2021</v>
      </c>
      <c r="I5" s="10" t="s">
        <v>24</v>
      </c>
    </row>
    <row r="6" spans="1:9" x14ac:dyDescent="0.3">
      <c r="A6" s="18" t="s">
        <v>45</v>
      </c>
      <c r="B6" s="57"/>
      <c r="C6" s="47" t="s">
        <v>81</v>
      </c>
      <c r="D6" s="10" t="s">
        <v>82</v>
      </c>
      <c r="E6" s="10" t="s">
        <v>80</v>
      </c>
      <c r="F6" s="47" t="s">
        <v>81</v>
      </c>
      <c r="G6" s="10" t="s">
        <v>82</v>
      </c>
      <c r="H6" s="10" t="s">
        <v>80</v>
      </c>
      <c r="I6" s="10" t="s">
        <v>79</v>
      </c>
    </row>
    <row r="7" spans="1:9" x14ac:dyDescent="0.3">
      <c r="A7" s="20" t="s">
        <v>53</v>
      </c>
      <c r="B7" s="56"/>
      <c r="C7" s="63" t="e">
        <f>'Buying pool summary'!#REF!</f>
        <v>#REF!</v>
      </c>
      <c r="D7" s="60" t="e">
        <f>'Partner shares'!#REF!</f>
        <v>#REF!</v>
      </c>
      <c r="E7" s="60" t="e">
        <f t="shared" ref="E7:E22" si="0">SUM(C7:D7)</f>
        <v>#REF!</v>
      </c>
      <c r="F7" s="41" t="e">
        <f>'Buying pool summary'!#REF!</f>
        <v>#REF!</v>
      </c>
      <c r="G7" s="15" t="e">
        <f>'Partner shares'!#REF!</f>
        <v>#REF!</v>
      </c>
      <c r="H7" s="15" t="e">
        <f t="shared" ref="H7:H22" si="1">SUM(F7:G7)</f>
        <v>#REF!</v>
      </c>
      <c r="I7" s="14" t="e">
        <f t="shared" ref="I7:I22" si="2">E7-H7</f>
        <v>#REF!</v>
      </c>
    </row>
    <row r="8" spans="1:9" x14ac:dyDescent="0.3">
      <c r="A8" s="23" t="s">
        <v>54</v>
      </c>
      <c r="B8" s="56">
        <v>25542</v>
      </c>
      <c r="C8" s="63">
        <f>'Buying pool summary'!K7</f>
        <v>149183.6493533786</v>
      </c>
      <c r="D8" s="60">
        <f>'Partner shares'!C6</f>
        <v>7882</v>
      </c>
      <c r="E8" s="60">
        <f t="shared" si="0"/>
        <v>157065.6493533786</v>
      </c>
      <c r="F8" s="41">
        <f>'Buying pool summary'!L7</f>
        <v>142820.19227750448</v>
      </c>
      <c r="G8" s="15">
        <f>'Partner shares'!B6</f>
        <v>8112</v>
      </c>
      <c r="H8" s="15">
        <f t="shared" si="1"/>
        <v>150932.19227750448</v>
      </c>
      <c r="I8" s="14">
        <f t="shared" si="2"/>
        <v>6133.4570758741174</v>
      </c>
    </row>
    <row r="9" spans="1:9" x14ac:dyDescent="0.3">
      <c r="A9" s="20" t="s">
        <v>86</v>
      </c>
      <c r="B9" s="56"/>
      <c r="C9" s="63">
        <f>'Buying pool summary'!K8</f>
        <v>140950.36074478764</v>
      </c>
      <c r="D9" s="60">
        <f>'Partner shares'!C7</f>
        <v>7882</v>
      </c>
      <c r="E9" s="60">
        <f t="shared" si="0"/>
        <v>148832.36074478764</v>
      </c>
      <c r="F9" s="41">
        <f>'Buying pool summary'!L8</f>
        <v>134865.69254104022</v>
      </c>
      <c r="G9" s="15">
        <f>'Partner shares'!B7</f>
        <v>8112</v>
      </c>
      <c r="H9" s="15">
        <f t="shared" si="1"/>
        <v>142977.69254104022</v>
      </c>
      <c r="I9" s="14">
        <f t="shared" si="2"/>
        <v>5854.6682037474238</v>
      </c>
    </row>
    <row r="10" spans="1:9" x14ac:dyDescent="0.3">
      <c r="A10" s="23" t="s">
        <v>55</v>
      </c>
      <c r="B10" s="56"/>
      <c r="C10" s="63">
        <f>'Buying pool summary'!K9</f>
        <v>35104.429627020843</v>
      </c>
      <c r="D10" s="60">
        <f>'Partner shares'!C8</f>
        <v>7882</v>
      </c>
      <c r="E10" s="60">
        <f t="shared" si="0"/>
        <v>42986.429627020843</v>
      </c>
      <c r="F10" s="41">
        <f>'Buying pool summary'!L9</f>
        <v>33576.317249241329</v>
      </c>
      <c r="G10" s="15">
        <f>'Partner shares'!B8</f>
        <v>8112</v>
      </c>
      <c r="H10" s="15">
        <f t="shared" si="1"/>
        <v>41688.317249241329</v>
      </c>
      <c r="I10" s="14">
        <f t="shared" si="2"/>
        <v>1298.1123777795146</v>
      </c>
    </row>
    <row r="11" spans="1:9" x14ac:dyDescent="0.3">
      <c r="A11" s="23" t="s">
        <v>56</v>
      </c>
      <c r="B11" s="56"/>
      <c r="C11" s="63" t="e">
        <f>'Buying pool summary'!#REF!</f>
        <v>#REF!</v>
      </c>
      <c r="D11" s="60" t="e">
        <f>'Partner shares'!#REF!</f>
        <v>#REF!</v>
      </c>
      <c r="E11" s="60" t="e">
        <f t="shared" si="0"/>
        <v>#REF!</v>
      </c>
      <c r="F11" s="41" t="e">
        <f>'Buying pool summary'!#REF!</f>
        <v>#REF!</v>
      </c>
      <c r="G11" s="15" t="e">
        <f>'Partner shares'!#REF!</f>
        <v>#REF!</v>
      </c>
      <c r="H11" s="15" t="e">
        <f t="shared" si="1"/>
        <v>#REF!</v>
      </c>
      <c r="I11" s="14" t="e">
        <f t="shared" si="2"/>
        <v>#REF!</v>
      </c>
    </row>
    <row r="12" spans="1:9" x14ac:dyDescent="0.3">
      <c r="A12" s="23" t="s">
        <v>57</v>
      </c>
      <c r="B12" s="56"/>
      <c r="C12" s="63">
        <f>'Buying pool summary'!K10</f>
        <v>23558.719273877134</v>
      </c>
      <c r="D12" s="60">
        <f>'Partner shares'!C9</f>
        <v>7882</v>
      </c>
      <c r="E12" s="60">
        <f t="shared" si="0"/>
        <v>31440.719273877134</v>
      </c>
      <c r="F12" s="41">
        <f>'Buying pool summary'!L10</f>
        <v>22515.270244188196</v>
      </c>
      <c r="G12" s="15">
        <f>'Partner shares'!B9</f>
        <v>8112</v>
      </c>
      <c r="H12" s="15">
        <f t="shared" si="1"/>
        <v>30627.270244188196</v>
      </c>
      <c r="I12" s="14">
        <f t="shared" si="2"/>
        <v>813.44902968893803</v>
      </c>
    </row>
    <row r="13" spans="1:9" x14ac:dyDescent="0.3">
      <c r="A13" s="23" t="s">
        <v>58</v>
      </c>
      <c r="B13" s="56"/>
      <c r="C13" s="63">
        <f>'Buying pool summary'!K11</f>
        <v>171619.94711091396</v>
      </c>
      <c r="D13" s="60">
        <f>'Partner shares'!C10</f>
        <v>7882</v>
      </c>
      <c r="E13" s="60">
        <f t="shared" si="0"/>
        <v>179501.94711091396</v>
      </c>
      <c r="F13" s="41">
        <f>'Buying pool summary'!L11</f>
        <v>164168.71676280018</v>
      </c>
      <c r="G13" s="15">
        <f>'Partner shares'!B10</f>
        <v>8112</v>
      </c>
      <c r="H13" s="15">
        <f t="shared" si="1"/>
        <v>172280.71676280018</v>
      </c>
      <c r="I13" s="14">
        <f t="shared" si="2"/>
        <v>7221.2303481137787</v>
      </c>
    </row>
    <row r="14" spans="1:9" x14ac:dyDescent="0.3">
      <c r="A14" s="20" t="s">
        <v>59</v>
      </c>
      <c r="B14" s="56"/>
      <c r="C14" s="63">
        <f>'Buying pool summary'!K12</f>
        <v>113262.88339582412</v>
      </c>
      <c r="D14" s="60">
        <f>'Partner shares'!C11</f>
        <v>7882</v>
      </c>
      <c r="E14" s="60">
        <f t="shared" si="0"/>
        <v>121144.88339582412</v>
      </c>
      <c r="F14" s="41">
        <f>'Buying pool summary'!L12</f>
        <v>108320.46008733439</v>
      </c>
      <c r="G14" s="15">
        <f>'Partner shares'!B11</f>
        <v>8112</v>
      </c>
      <c r="H14" s="15">
        <f t="shared" si="1"/>
        <v>116432.46008733439</v>
      </c>
      <c r="I14" s="14">
        <f t="shared" si="2"/>
        <v>4712.4233084897278</v>
      </c>
    </row>
    <row r="15" spans="1:9" x14ac:dyDescent="0.3">
      <c r="A15" s="23" t="s">
        <v>78</v>
      </c>
      <c r="B15" s="56" t="e">
        <f>SUM(#REF!)</f>
        <v>#REF!</v>
      </c>
      <c r="C15" s="63">
        <f>'Buying pool summary'!K13</f>
        <v>106449.02239008743</v>
      </c>
      <c r="D15" s="60">
        <f>'Partner shares'!C12</f>
        <v>7882</v>
      </c>
      <c r="E15" s="60">
        <f t="shared" si="0"/>
        <v>114331.02239008743</v>
      </c>
      <c r="F15" s="41">
        <f>'Buying pool summary'!L13</f>
        <v>101823.48422074833</v>
      </c>
      <c r="G15" s="15">
        <f>'Partner shares'!B12</f>
        <v>8112</v>
      </c>
      <c r="H15" s="15">
        <f t="shared" si="1"/>
        <v>109935.48422074833</v>
      </c>
      <c r="I15" s="14">
        <f t="shared" si="2"/>
        <v>4395.5381693390955</v>
      </c>
    </row>
    <row r="16" spans="1:9" x14ac:dyDescent="0.3">
      <c r="A16" s="23" t="s">
        <v>61</v>
      </c>
      <c r="B16" s="56"/>
      <c r="C16" s="63">
        <f>'Buying pool summary'!K14</f>
        <v>51635.703186903083</v>
      </c>
      <c r="D16" s="60">
        <f>'Partner shares'!C13</f>
        <v>7882</v>
      </c>
      <c r="E16" s="60">
        <f t="shared" si="0"/>
        <v>59517.703186903083</v>
      </c>
      <c r="F16" s="41">
        <f>'Buying pool summary'!L14</f>
        <v>49382.375818023465</v>
      </c>
      <c r="G16" s="15">
        <f>'Partner shares'!B13</f>
        <v>8112</v>
      </c>
      <c r="H16" s="15">
        <f t="shared" si="1"/>
        <v>57494.375818023465</v>
      </c>
      <c r="I16" s="14">
        <f t="shared" si="2"/>
        <v>2023.327368879618</v>
      </c>
    </row>
    <row r="17" spans="1:9" x14ac:dyDescent="0.3">
      <c r="A17" s="23" t="s">
        <v>77</v>
      </c>
      <c r="B17" s="56"/>
      <c r="C17" s="63">
        <f>'Buying pool summary'!K15</f>
        <v>62098.064193759135</v>
      </c>
      <c r="D17" s="60">
        <f>'Partner shares'!C14</f>
        <v>7882</v>
      </c>
      <c r="E17" s="60">
        <f t="shared" si="0"/>
        <v>69980.064193759143</v>
      </c>
      <c r="F17" s="41">
        <f>'Buying pool summary'!L15</f>
        <v>59403.365146356431</v>
      </c>
      <c r="G17" s="15">
        <f>'Partner shares'!B14</f>
        <v>8112</v>
      </c>
      <c r="H17" s="15">
        <f t="shared" si="1"/>
        <v>67515.365146356431</v>
      </c>
      <c r="I17" s="14">
        <f t="shared" si="2"/>
        <v>2464.6990474027116</v>
      </c>
    </row>
    <row r="18" spans="1:9" x14ac:dyDescent="0.3">
      <c r="A18" s="23" t="s">
        <v>63</v>
      </c>
      <c r="B18" s="56"/>
      <c r="C18" s="63">
        <f>'Buying pool summary'!K17</f>
        <v>331854.26516123628</v>
      </c>
      <c r="D18" s="60">
        <f>'Partner shares'!C16</f>
        <v>7882</v>
      </c>
      <c r="E18" s="60">
        <f t="shared" si="0"/>
        <v>339736.26516123628</v>
      </c>
      <c r="F18" s="41">
        <f>'Buying pool summary'!L17</f>
        <v>317627.55367874051</v>
      </c>
      <c r="G18" s="15">
        <f>'Partner shares'!B16</f>
        <v>8112</v>
      </c>
      <c r="H18" s="15">
        <f t="shared" si="1"/>
        <v>325739.55367874051</v>
      </c>
      <c r="I18" s="14">
        <f t="shared" si="2"/>
        <v>13996.711482495768</v>
      </c>
    </row>
    <row r="19" spans="1:9" x14ac:dyDescent="0.3">
      <c r="A19" s="23" t="s">
        <v>64</v>
      </c>
      <c r="B19" s="56"/>
      <c r="C19" s="63">
        <f>'Buying pool summary'!K18</f>
        <v>31833.771856835483</v>
      </c>
      <c r="D19" s="60">
        <f>'Partner shares'!C17</f>
        <v>7882</v>
      </c>
      <c r="E19" s="60">
        <f t="shared" si="0"/>
        <v>39715.771856835483</v>
      </c>
      <c r="F19" s="41">
        <f>'Buying pool summary'!L18</f>
        <v>30430.961799828729</v>
      </c>
      <c r="G19" s="15">
        <f>'Partner shares'!B17</f>
        <v>8112</v>
      </c>
      <c r="H19" s="15">
        <f t="shared" si="1"/>
        <v>38542.961799828729</v>
      </c>
      <c r="I19" s="14">
        <f t="shared" si="2"/>
        <v>1172.8100570067545</v>
      </c>
    </row>
    <row r="20" spans="1:9" x14ac:dyDescent="0.3">
      <c r="A20" s="23" t="s">
        <v>65</v>
      </c>
      <c r="B20" s="56"/>
      <c r="C20" s="63">
        <f>'Buying pool summary'!K19</f>
        <v>78023.890436614893</v>
      </c>
      <c r="D20" s="60">
        <f>'Partner shares'!C18</f>
        <v>7882</v>
      </c>
      <c r="E20" s="60">
        <f t="shared" si="0"/>
        <v>85905.890436614893</v>
      </c>
      <c r="F20" s="41">
        <f>'Buying pool summary'!L19</f>
        <v>74593.529824745608</v>
      </c>
      <c r="G20" s="15">
        <f>'Partner shares'!B18</f>
        <v>8112</v>
      </c>
      <c r="H20" s="15">
        <f t="shared" si="1"/>
        <v>82705.529824745608</v>
      </c>
      <c r="I20" s="14">
        <f t="shared" si="2"/>
        <v>3200.3606118692842</v>
      </c>
    </row>
    <row r="21" spans="1:9" x14ac:dyDescent="0.3">
      <c r="A21" s="23" t="s">
        <v>66</v>
      </c>
      <c r="B21" s="56"/>
      <c r="C21" s="63">
        <f>'Buying pool summary'!K20</f>
        <v>77494.958123101314</v>
      </c>
      <c r="D21" s="60">
        <f>'Partner shares'!C19</f>
        <v>7882</v>
      </c>
      <c r="E21" s="60">
        <f t="shared" si="0"/>
        <v>85376.958123101314</v>
      </c>
      <c r="F21" s="41">
        <f>'Buying pool summary'!L20</f>
        <v>74212.104750502374</v>
      </c>
      <c r="G21" s="15">
        <f>'Partner shares'!B19</f>
        <v>8112</v>
      </c>
      <c r="H21" s="15">
        <f t="shared" si="1"/>
        <v>82324.104750502374</v>
      </c>
      <c r="I21" s="14">
        <f t="shared" si="2"/>
        <v>3052.85337259894</v>
      </c>
    </row>
    <row r="22" spans="1:9" ht="16.5" customHeight="1" x14ac:dyDescent="0.3">
      <c r="A22" s="24" t="s">
        <v>76</v>
      </c>
      <c r="B22" s="55" t="e">
        <f>SUM(#REF!)</f>
        <v>#REF!</v>
      </c>
      <c r="C22" s="63">
        <f>'Buying pool summary'!K21</f>
        <v>74803.959895586391</v>
      </c>
      <c r="D22" s="60">
        <f>'Partner shares'!C20</f>
        <v>7882</v>
      </c>
      <c r="E22" s="60">
        <f t="shared" si="0"/>
        <v>82685.959895586391</v>
      </c>
      <c r="F22" s="41">
        <f>'Buying pool summary'!L21</f>
        <v>71504.710636886957</v>
      </c>
      <c r="G22" s="15">
        <f>'Partner shares'!B20</f>
        <v>8112</v>
      </c>
      <c r="H22" s="15">
        <f t="shared" si="1"/>
        <v>79616.710636886957</v>
      </c>
      <c r="I22" s="14">
        <f t="shared" si="2"/>
        <v>3069.249258699434</v>
      </c>
    </row>
    <row r="23" spans="1:9" x14ac:dyDescent="0.3">
      <c r="C23" s="14" t="e">
        <f t="shared" ref="C23:H23" si="3">SUM(C7:C22)</f>
        <v>#REF!</v>
      </c>
      <c r="D23" s="14" t="e">
        <f t="shared" si="3"/>
        <v>#REF!</v>
      </c>
      <c r="E23" s="14" t="e">
        <f t="shared" si="3"/>
        <v>#REF!</v>
      </c>
      <c r="F23" s="14" t="e">
        <f t="shared" si="3"/>
        <v>#REF!</v>
      </c>
      <c r="G23" s="14" t="e">
        <f t="shared" si="3"/>
        <v>#REF!</v>
      </c>
      <c r="H23" s="14" t="e">
        <f t="shared" si="3"/>
        <v>#REF!</v>
      </c>
      <c r="I23" s="14"/>
    </row>
  </sheetData>
  <sheetProtection algorithmName="SHA-512" hashValue="OYc1D4NZwFfFNjKXuhuhj28hFJNwsGYHzLAk64wNxAUQHssz4/ETDNMJ0RXe68W36vDkHrjualwZfNZJk73q2w==" saltValue="AjZ/VNS+Y1fVVvpNnFeWOg==" spinCount="100000" sheet="1" objects="1" scenarios="1"/>
  <pageMargins left="0.7" right="0.7" top="0.75" bottom="0.75" header="0.3" footer="0.3"/>
  <pageSetup orientation="landscape" horizont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2"/>
  <sheetViews>
    <sheetView workbookViewId="0">
      <selection activeCell="D2" sqref="D2"/>
    </sheetView>
  </sheetViews>
  <sheetFormatPr defaultColWidth="8.88671875" defaultRowHeight="14.4" x14ac:dyDescent="0.3"/>
  <cols>
    <col min="1" max="1" width="34.6640625" bestFit="1" customWidth="1"/>
    <col min="2" max="2" width="6" hidden="1" customWidth="1"/>
    <col min="3" max="3" width="11.6640625" bestFit="1" customWidth="1"/>
    <col min="4" max="4" width="14.6640625" bestFit="1" customWidth="1"/>
    <col min="5" max="5" width="14.5546875" customWidth="1"/>
    <col min="6" max="6" width="12.109375" bestFit="1" customWidth="1"/>
    <col min="7" max="7" width="11.5546875" bestFit="1" customWidth="1"/>
    <col min="8" max="8" width="14.5546875" bestFit="1" customWidth="1"/>
    <col min="9" max="9" width="14.5546875" customWidth="1"/>
    <col min="10" max="10" width="11.5546875" bestFit="1" customWidth="1"/>
    <col min="11" max="11" width="9.6640625" bestFit="1" customWidth="1"/>
    <col min="12" max="12" width="8.6640625" customWidth="1"/>
  </cols>
  <sheetData>
    <row r="1" spans="1:12" x14ac:dyDescent="0.3">
      <c r="A1" s="171" t="s">
        <v>95</v>
      </c>
      <c r="B1" s="36"/>
      <c r="C1" s="96"/>
      <c r="D1" s="98">
        <v>2024</v>
      </c>
    </row>
    <row r="2" spans="1:12" ht="15" thickBot="1" x14ac:dyDescent="0.35">
      <c r="A2" s="172"/>
      <c r="B2" s="97"/>
      <c r="C2" s="112"/>
      <c r="D2" s="99">
        <v>2025</v>
      </c>
    </row>
    <row r="3" spans="1:12" x14ac:dyDescent="0.3">
      <c r="B3" s="10"/>
    </row>
    <row r="5" spans="1:12" x14ac:dyDescent="0.3">
      <c r="C5" s="58">
        <v>2025</v>
      </c>
      <c r="D5" s="58">
        <v>2025</v>
      </c>
      <c r="E5" s="58">
        <v>2025</v>
      </c>
      <c r="F5" s="58">
        <v>2025</v>
      </c>
      <c r="G5" s="58">
        <v>2024</v>
      </c>
      <c r="H5" s="58">
        <v>2024</v>
      </c>
      <c r="I5" s="58">
        <v>2024</v>
      </c>
      <c r="J5" s="58">
        <v>2024</v>
      </c>
      <c r="K5" s="10" t="s">
        <v>24</v>
      </c>
    </row>
    <row r="6" spans="1:12" x14ac:dyDescent="0.3">
      <c r="A6" s="91" t="s">
        <v>121</v>
      </c>
      <c r="B6" s="57"/>
      <c r="C6" s="47" t="s">
        <v>81</v>
      </c>
      <c r="D6" s="47" t="s">
        <v>99</v>
      </c>
      <c r="E6" s="47" t="s">
        <v>91</v>
      </c>
      <c r="F6" s="47" t="s">
        <v>80</v>
      </c>
      <c r="G6" s="47" t="s">
        <v>81</v>
      </c>
      <c r="H6" s="47" t="s">
        <v>99</v>
      </c>
      <c r="I6" s="47" t="s">
        <v>91</v>
      </c>
      <c r="J6" s="47" t="s">
        <v>80</v>
      </c>
      <c r="K6" s="47" t="s">
        <v>79</v>
      </c>
    </row>
    <row r="7" spans="1:12" x14ac:dyDescent="0.3">
      <c r="A7" s="94" t="s">
        <v>54</v>
      </c>
      <c r="B7" s="56">
        <v>25542</v>
      </c>
      <c r="C7" s="110">
        <f>'Buying pool summary'!K7</f>
        <v>149183.6493533786</v>
      </c>
      <c r="D7" s="111">
        <f>'Partner shares'!B6</f>
        <v>8112</v>
      </c>
      <c r="E7" s="111">
        <f>'Magazine Costs'!G6</f>
        <v>9537.2696799767837</v>
      </c>
      <c r="F7" s="111">
        <f t="shared" ref="F7:F21" si="0">SUM(C7:E7)</f>
        <v>166832.91903335537</v>
      </c>
      <c r="G7" s="92">
        <f>'Buying pool summary'!L7</f>
        <v>142820.19227750448</v>
      </c>
      <c r="H7" s="93">
        <f>'Partner shares'!C6</f>
        <v>7882</v>
      </c>
      <c r="I7" s="93">
        <f>'Magazine Costs'!H6</f>
        <v>9537.2696799767837</v>
      </c>
      <c r="J7" s="93">
        <f t="shared" ref="J7:J21" si="1">SUM(G7:I7)</f>
        <v>160239.46195748125</v>
      </c>
      <c r="K7" s="14">
        <f>F7-J7</f>
        <v>6593.4570758741174</v>
      </c>
    </row>
    <row r="8" spans="1:12" x14ac:dyDescent="0.3">
      <c r="A8" s="56" t="s">
        <v>86</v>
      </c>
      <c r="B8" s="56"/>
      <c r="C8" s="110">
        <f>'Buying pool summary'!K8</f>
        <v>140950.36074478764</v>
      </c>
      <c r="D8" s="111">
        <f>'Partner shares'!B7</f>
        <v>8112</v>
      </c>
      <c r="E8" s="111">
        <f>'Magazine Costs'!G7</f>
        <v>9119.4331760850018</v>
      </c>
      <c r="F8" s="111">
        <f t="shared" si="0"/>
        <v>158181.79392087265</v>
      </c>
      <c r="G8" s="92">
        <f>'Buying pool summary'!L8</f>
        <v>134865.69254104022</v>
      </c>
      <c r="H8" s="93">
        <f>'Partner shares'!C7</f>
        <v>7882</v>
      </c>
      <c r="I8" s="93">
        <f>'Magazine Costs'!H7</f>
        <v>9119.4331760850018</v>
      </c>
      <c r="J8" s="93">
        <f t="shared" si="1"/>
        <v>151867.12571712522</v>
      </c>
      <c r="K8" s="14">
        <f t="shared" ref="K8:K21" si="2">F8-J8</f>
        <v>6314.6682037474238</v>
      </c>
    </row>
    <row r="9" spans="1:12" x14ac:dyDescent="0.3">
      <c r="A9" s="94" t="s">
        <v>55</v>
      </c>
      <c r="B9" s="56"/>
      <c r="C9" s="110">
        <f>'Buying pool summary'!K9</f>
        <v>35104.429627020843</v>
      </c>
      <c r="D9" s="111">
        <f>'Partner shares'!B8</f>
        <v>8112</v>
      </c>
      <c r="E9" s="111">
        <f>'Magazine Costs'!G8</f>
        <v>2290.2676445243119</v>
      </c>
      <c r="F9" s="111">
        <f t="shared" si="0"/>
        <v>45506.697271545156</v>
      </c>
      <c r="G9" s="92">
        <f>'Buying pool summary'!L9</f>
        <v>33576.317249241329</v>
      </c>
      <c r="H9" s="93">
        <f>'Partner shares'!C8</f>
        <v>7882</v>
      </c>
      <c r="I9" s="93">
        <f>'Magazine Costs'!H8</f>
        <v>2290.2676445243119</v>
      </c>
      <c r="J9" s="93">
        <f t="shared" si="1"/>
        <v>43748.584893765641</v>
      </c>
      <c r="K9" s="14">
        <f t="shared" si="2"/>
        <v>1758.1123777795146</v>
      </c>
    </row>
    <row r="10" spans="1:12" x14ac:dyDescent="0.3">
      <c r="A10" s="94" t="s">
        <v>57</v>
      </c>
      <c r="B10" s="56"/>
      <c r="C10" s="110">
        <f>'Buying pool summary'!K10</f>
        <v>23558.719273877134</v>
      </c>
      <c r="D10" s="111">
        <f>'Partner shares'!B9</f>
        <v>8112</v>
      </c>
      <c r="E10" s="111">
        <f>'Magazine Costs'!G9</f>
        <v>1563.8755278452945</v>
      </c>
      <c r="F10" s="111">
        <f t="shared" si="0"/>
        <v>33234.594801722429</v>
      </c>
      <c r="G10" s="92">
        <f>'Buying pool summary'!L10</f>
        <v>22515.270244188196</v>
      </c>
      <c r="H10" s="93">
        <f>'Partner shares'!C9</f>
        <v>7882</v>
      </c>
      <c r="I10" s="93">
        <f>'Magazine Costs'!H9</f>
        <v>1563.8755278452945</v>
      </c>
      <c r="J10" s="93">
        <f t="shared" si="1"/>
        <v>31961.145772033491</v>
      </c>
      <c r="K10" s="14">
        <f t="shared" si="2"/>
        <v>1273.449029688938</v>
      </c>
    </row>
    <row r="11" spans="1:12" x14ac:dyDescent="0.3">
      <c r="A11" s="94" t="s">
        <v>58</v>
      </c>
      <c r="B11" s="56"/>
      <c r="C11" s="110">
        <f>'Buying pool summary'!K11</f>
        <v>171619.94711091396</v>
      </c>
      <c r="D11" s="111">
        <f>'Partner shares'!B10</f>
        <v>8112</v>
      </c>
      <c r="E11" s="111">
        <f>'Magazine Costs'!G10</f>
        <v>11167.576433730692</v>
      </c>
      <c r="F11" s="111">
        <f t="shared" si="0"/>
        <v>190899.52354464465</v>
      </c>
      <c r="G11" s="92">
        <f>'Buying pool summary'!L11</f>
        <v>164168.71676280018</v>
      </c>
      <c r="H11" s="93">
        <f>'Partner shares'!C10</f>
        <v>7882</v>
      </c>
      <c r="I11" s="93">
        <f>'Magazine Costs'!H10</f>
        <v>11167.576433730692</v>
      </c>
      <c r="J11" s="93">
        <f t="shared" si="1"/>
        <v>183218.29319653087</v>
      </c>
      <c r="K11" s="14">
        <f t="shared" si="2"/>
        <v>7681.2303481137787</v>
      </c>
    </row>
    <row r="12" spans="1:12" x14ac:dyDescent="0.3">
      <c r="A12" s="56" t="s">
        <v>59</v>
      </c>
      <c r="B12" s="56"/>
      <c r="C12" s="110">
        <f>'Buying pool summary'!K12</f>
        <v>113262.88339582412</v>
      </c>
      <c r="D12" s="111">
        <f>'Partner shares'!B11</f>
        <v>8112</v>
      </c>
      <c r="E12" s="111">
        <f>'Magazine Costs'!G11</f>
        <v>7407.4867487331458</v>
      </c>
      <c r="F12" s="111">
        <f t="shared" si="0"/>
        <v>128782.37014455727</v>
      </c>
      <c r="G12" s="92">
        <f>'Buying pool summary'!L12</f>
        <v>108320.46008733439</v>
      </c>
      <c r="H12" s="93">
        <f>'Partner shares'!C11</f>
        <v>7882</v>
      </c>
      <c r="I12" s="93">
        <f>'Magazine Costs'!H11</f>
        <v>7407.4867487331458</v>
      </c>
      <c r="J12" s="93">
        <f t="shared" si="1"/>
        <v>123609.94683606754</v>
      </c>
      <c r="K12" s="14">
        <f t="shared" si="2"/>
        <v>5172.4233084897278</v>
      </c>
    </row>
    <row r="13" spans="1:12" x14ac:dyDescent="0.3">
      <c r="A13" s="94" t="s">
        <v>78</v>
      </c>
      <c r="B13" s="56" t="e">
        <f>SUM(#REF!)</f>
        <v>#REF!</v>
      </c>
      <c r="C13" s="110">
        <f>'Buying pool summary'!K13</f>
        <v>106449.02239008743</v>
      </c>
      <c r="D13" s="111">
        <f>'Partner shares'!B12</f>
        <v>8112</v>
      </c>
      <c r="E13" s="111">
        <f>'Magazine Costs'!G12</f>
        <v>6932.5532348237321</v>
      </c>
      <c r="F13" s="111">
        <f t="shared" si="0"/>
        <v>121493.57562491116</v>
      </c>
      <c r="G13" s="92">
        <f>'Buying pool summary'!L13</f>
        <v>101823.48422074833</v>
      </c>
      <c r="H13" s="93">
        <f>'Partner shares'!C12</f>
        <v>7882</v>
      </c>
      <c r="I13" s="93">
        <f>'Magazine Costs'!H12</f>
        <v>6932.5532348237321</v>
      </c>
      <c r="J13" s="93">
        <f t="shared" si="1"/>
        <v>116638.03745557206</v>
      </c>
      <c r="K13" s="14">
        <f t="shared" si="2"/>
        <v>4855.5381693390955</v>
      </c>
    </row>
    <row r="14" spans="1:12" x14ac:dyDescent="0.3">
      <c r="A14" s="94" t="s">
        <v>61</v>
      </c>
      <c r="B14" s="56"/>
      <c r="C14" s="110">
        <f>'Buying pool summary'!K14</f>
        <v>51635.703186903083</v>
      </c>
      <c r="D14" s="111">
        <f>'Partner shares'!B13</f>
        <v>8112</v>
      </c>
      <c r="E14" s="111">
        <f>'Magazine Costs'!G13</f>
        <v>3377.1879872899804</v>
      </c>
      <c r="F14" s="111">
        <f t="shared" si="0"/>
        <v>63124.891174193064</v>
      </c>
      <c r="G14" s="92">
        <f>'Buying pool summary'!L14</f>
        <v>49382.375818023465</v>
      </c>
      <c r="H14" s="93">
        <f>'Partner shares'!C13</f>
        <v>7882</v>
      </c>
      <c r="I14" s="93">
        <f>'Magazine Costs'!H13</f>
        <v>3377.1879872899804</v>
      </c>
      <c r="J14" s="93">
        <f t="shared" si="1"/>
        <v>60641.563805313446</v>
      </c>
      <c r="K14" s="14">
        <f t="shared" si="2"/>
        <v>2483.327368879618</v>
      </c>
    </row>
    <row r="15" spans="1:12" x14ac:dyDescent="0.3">
      <c r="A15" s="94" t="s">
        <v>77</v>
      </c>
      <c r="B15" s="56"/>
      <c r="C15" s="110">
        <f>'Buying pool summary'!K15</f>
        <v>62098.064193759135</v>
      </c>
      <c r="D15" s="111">
        <f>'Partner shares'!B14</f>
        <v>8112</v>
      </c>
      <c r="E15" s="111">
        <f>'Magazine Costs'!G14</f>
        <v>4038.6964530480268</v>
      </c>
      <c r="F15" s="111">
        <f t="shared" si="0"/>
        <v>74248.760646807175</v>
      </c>
      <c r="G15" s="92">
        <f>'Buying pool summary'!L15</f>
        <v>59403.365146356431</v>
      </c>
      <c r="H15" s="93">
        <f>'Partner shares'!C14</f>
        <v>7882</v>
      </c>
      <c r="I15" s="93">
        <f>'Magazine Costs'!H14</f>
        <v>4038.6964530480268</v>
      </c>
      <c r="J15" s="93">
        <f t="shared" si="1"/>
        <v>71324.061599404464</v>
      </c>
      <c r="K15" s="14">
        <f t="shared" si="2"/>
        <v>2924.6990474027116</v>
      </c>
    </row>
    <row r="16" spans="1:12" x14ac:dyDescent="0.3">
      <c r="A16" s="94" t="s">
        <v>134</v>
      </c>
      <c r="B16" s="56"/>
      <c r="C16" s="110">
        <f>'Buying pool summary'!K16</f>
        <v>93236.375250073732</v>
      </c>
      <c r="D16" s="111">
        <f>'Partner shares'!B15</f>
        <v>8112</v>
      </c>
      <c r="E16" s="111">
        <f>'Magazine Costs'!G15</f>
        <v>6134.5737358216184</v>
      </c>
      <c r="F16" s="111">
        <f t="shared" si="0"/>
        <v>107482.94898589535</v>
      </c>
      <c r="G16" s="128">
        <f>'Buying pool summary'!L16</f>
        <v>89143.264962058834</v>
      </c>
      <c r="H16" s="129">
        <f>'Partner shares'!C15</f>
        <v>7882</v>
      </c>
      <c r="I16" s="129">
        <f>'Magazine Costs'!H15</f>
        <v>6134.5737358216184</v>
      </c>
      <c r="J16" s="93">
        <f t="shared" ref="J16" si="3">SUM(G16:I16)</f>
        <v>103159.83869788045</v>
      </c>
      <c r="K16" s="14">
        <f t="shared" si="2"/>
        <v>4323.1102880148974</v>
      </c>
      <c r="L16" s="136"/>
    </row>
    <row r="17" spans="1:11" x14ac:dyDescent="0.3">
      <c r="A17" s="94" t="s">
        <v>63</v>
      </c>
      <c r="B17" s="56"/>
      <c r="C17" s="110">
        <f>'Buying pool summary'!K17</f>
        <v>331854.26516123628</v>
      </c>
      <c r="D17" s="111">
        <f>'Partner shares'!B16</f>
        <v>8112</v>
      </c>
      <c r="E17" s="111">
        <f>'Magazine Costs'!G16</f>
        <v>21322.369656928393</v>
      </c>
      <c r="F17" s="111">
        <f t="shared" si="0"/>
        <v>361288.63481816469</v>
      </c>
      <c r="G17" s="92">
        <f>'Buying pool summary'!L17</f>
        <v>317627.55367874051</v>
      </c>
      <c r="H17" s="93">
        <f>'Partner shares'!C16</f>
        <v>7882</v>
      </c>
      <c r="I17" s="93">
        <f>'Magazine Costs'!H16</f>
        <v>21322.369656928393</v>
      </c>
      <c r="J17" s="93">
        <f t="shared" si="1"/>
        <v>346831.92333566892</v>
      </c>
      <c r="K17" s="14">
        <f t="shared" si="2"/>
        <v>14456.711482495768</v>
      </c>
    </row>
    <row r="18" spans="1:11" x14ac:dyDescent="0.3">
      <c r="A18" s="94" t="s">
        <v>64</v>
      </c>
      <c r="B18" s="56"/>
      <c r="C18" s="110">
        <f>'Buying pool summary'!K18</f>
        <v>31833.771856835483</v>
      </c>
      <c r="D18" s="111">
        <f>'Partner shares'!B17</f>
        <v>8112</v>
      </c>
      <c r="E18" s="111">
        <f>'Magazine Costs'!G17</f>
        <v>2102.4700353807666</v>
      </c>
      <c r="F18" s="111">
        <f t="shared" si="0"/>
        <v>42048.241892216247</v>
      </c>
      <c r="G18" s="92">
        <f>'Buying pool summary'!L18</f>
        <v>30430.961799828729</v>
      </c>
      <c r="H18" s="93">
        <f>'Partner shares'!C17</f>
        <v>7882</v>
      </c>
      <c r="I18" s="93">
        <f>'Magazine Costs'!H17</f>
        <v>2102.4700353807666</v>
      </c>
      <c r="J18" s="93">
        <f t="shared" si="1"/>
        <v>40415.431835209492</v>
      </c>
      <c r="K18" s="14">
        <f t="shared" si="2"/>
        <v>1632.8100570067545</v>
      </c>
    </row>
    <row r="19" spans="1:11" x14ac:dyDescent="0.3">
      <c r="A19" s="94" t="s">
        <v>65</v>
      </c>
      <c r="B19" s="56"/>
      <c r="C19" s="110">
        <f>'Buying pool summary'!K19</f>
        <v>78023.890436614893</v>
      </c>
      <c r="D19" s="111">
        <f>'Partner shares'!B18</f>
        <v>8112</v>
      </c>
      <c r="E19" s="111">
        <f>'Magazine Costs'!G18</f>
        <v>5141.2736606655671</v>
      </c>
      <c r="F19" s="111">
        <f t="shared" si="0"/>
        <v>91277.16409728046</v>
      </c>
      <c r="G19" s="92">
        <f>'Buying pool summary'!L19</f>
        <v>74593.529824745608</v>
      </c>
      <c r="H19" s="93">
        <f>'Partner shares'!C18</f>
        <v>7882</v>
      </c>
      <c r="I19" s="93">
        <f>'Magazine Costs'!H18</f>
        <v>5141.2736606655671</v>
      </c>
      <c r="J19" s="93">
        <f t="shared" si="1"/>
        <v>87616.803485411176</v>
      </c>
      <c r="K19" s="14">
        <f t="shared" si="2"/>
        <v>3660.3606118692842</v>
      </c>
    </row>
    <row r="20" spans="1:11" x14ac:dyDescent="0.3">
      <c r="A20" s="94" t="s">
        <v>66</v>
      </c>
      <c r="B20" s="56"/>
      <c r="C20" s="110">
        <f>'Buying pool summary'!K20</f>
        <v>77494.958123101314</v>
      </c>
      <c r="D20" s="111">
        <f>'Partner shares'!B19</f>
        <v>8112</v>
      </c>
      <c r="E20" s="111">
        <f>'Magazine Costs'!G19</f>
        <v>4920.1962959727507</v>
      </c>
      <c r="F20" s="111">
        <f t="shared" si="0"/>
        <v>90527.154419074068</v>
      </c>
      <c r="G20" s="92">
        <f>'Buying pool summary'!L20</f>
        <v>74212.104750502374</v>
      </c>
      <c r="H20" s="93">
        <f>'Partner shares'!C19</f>
        <v>7882</v>
      </c>
      <c r="I20" s="93">
        <f>'Magazine Costs'!H19</f>
        <v>4920.1962959727507</v>
      </c>
      <c r="J20" s="93">
        <f t="shared" si="1"/>
        <v>87014.301046475128</v>
      </c>
      <c r="K20" s="14">
        <f t="shared" si="2"/>
        <v>3512.85337259894</v>
      </c>
    </row>
    <row r="21" spans="1:11" x14ac:dyDescent="0.3">
      <c r="A21" s="95" t="s">
        <v>76</v>
      </c>
      <c r="B21" s="55" t="e">
        <f>SUM(#REF!)</f>
        <v>#REF!</v>
      </c>
      <c r="C21" s="110">
        <f>'Buying pool summary'!K21</f>
        <v>74803.959895586391</v>
      </c>
      <c r="D21" s="111">
        <f>'Partner shares'!B20</f>
        <v>8112</v>
      </c>
      <c r="E21" s="111">
        <f>'Magazine Costs'!G20</f>
        <v>4944.7697291739423</v>
      </c>
      <c r="F21" s="111">
        <f t="shared" si="0"/>
        <v>87860.729624760337</v>
      </c>
      <c r="G21" s="92">
        <f>'Buying pool summary'!L21</f>
        <v>71504.710636886957</v>
      </c>
      <c r="H21" s="93">
        <f>'Partner shares'!C20</f>
        <v>7882</v>
      </c>
      <c r="I21" s="93">
        <f>'Magazine Costs'!H20</f>
        <v>4944.7697291739423</v>
      </c>
      <c r="J21" s="93">
        <f t="shared" si="1"/>
        <v>84331.480366060903</v>
      </c>
      <c r="K21" s="14">
        <f t="shared" si="2"/>
        <v>3529.249258699434</v>
      </c>
    </row>
    <row r="22" spans="1:11" x14ac:dyDescent="0.3">
      <c r="C22" s="14">
        <f t="shared" ref="C22:J22" si="4">SUM(C7:C21)</f>
        <v>1541110</v>
      </c>
      <c r="D22" s="14">
        <f t="shared" si="4"/>
        <v>121680</v>
      </c>
      <c r="E22" s="14">
        <f t="shared" si="4"/>
        <v>100000.00000000001</v>
      </c>
      <c r="F22" s="14">
        <f t="shared" si="4"/>
        <v>1762789.9999999998</v>
      </c>
      <c r="G22" s="14">
        <f>SUM(G7:G21)</f>
        <v>1474388</v>
      </c>
      <c r="H22" s="14">
        <f t="shared" si="4"/>
        <v>118230</v>
      </c>
      <c r="I22" s="14">
        <f t="shared" si="4"/>
        <v>100000.00000000001</v>
      </c>
      <c r="J22" s="14">
        <f t="shared" si="4"/>
        <v>1692618</v>
      </c>
      <c r="K22" s="14"/>
    </row>
  </sheetData>
  <mergeCells count="1">
    <mergeCell ref="A1:A2"/>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1"/>
  <sheetViews>
    <sheetView workbookViewId="0">
      <selection activeCell="C30" sqref="C30"/>
    </sheetView>
  </sheetViews>
  <sheetFormatPr defaultColWidth="9.33203125" defaultRowHeight="14.4" x14ac:dyDescent="0.3"/>
  <cols>
    <col min="1" max="1" width="39.5546875" bestFit="1" customWidth="1"/>
    <col min="2" max="2" width="22.33203125" bestFit="1" customWidth="1"/>
    <col min="3" max="4" width="18.33203125" bestFit="1" customWidth="1"/>
    <col min="5" max="5" width="16.33203125" customWidth="1"/>
    <col min="6" max="6" width="14" customWidth="1"/>
  </cols>
  <sheetData>
    <row r="1" spans="1:5" x14ac:dyDescent="0.3">
      <c r="A1" s="7" t="s">
        <v>22</v>
      </c>
      <c r="B1" s="9">
        <f>'2025 budget'!C7</f>
        <v>121680.25</v>
      </c>
    </row>
    <row r="2" spans="1:5" x14ac:dyDescent="0.3">
      <c r="A2" s="10" t="s">
        <v>39</v>
      </c>
      <c r="B2" s="14">
        <f>ROUND(B1/15, 0)</f>
        <v>8112</v>
      </c>
    </row>
    <row r="5" spans="1:5" x14ac:dyDescent="0.3">
      <c r="A5" s="10" t="s">
        <v>23</v>
      </c>
      <c r="B5" s="113" t="s">
        <v>135</v>
      </c>
      <c r="C5" s="59" t="s">
        <v>100</v>
      </c>
      <c r="D5" s="10" t="s">
        <v>24</v>
      </c>
    </row>
    <row r="6" spans="1:5" x14ac:dyDescent="0.3">
      <c r="A6" t="s">
        <v>25</v>
      </c>
      <c r="B6" s="114">
        <f t="shared" ref="B6:B20" si="0">$B$2</f>
        <v>8112</v>
      </c>
      <c r="C6" s="60">
        <v>7882</v>
      </c>
      <c r="D6" s="11">
        <f>B6-C6</f>
        <v>230</v>
      </c>
      <c r="E6" s="12"/>
    </row>
    <row r="7" spans="1:5" x14ac:dyDescent="0.3">
      <c r="A7" t="s">
        <v>85</v>
      </c>
      <c r="B7" s="114">
        <f t="shared" si="0"/>
        <v>8112</v>
      </c>
      <c r="C7" s="60">
        <v>7882</v>
      </c>
      <c r="D7" s="11">
        <f t="shared" ref="D7:D20" si="1">B7-C7</f>
        <v>230</v>
      </c>
      <c r="E7" s="12"/>
    </row>
    <row r="8" spans="1:5" x14ac:dyDescent="0.3">
      <c r="A8" t="s">
        <v>26</v>
      </c>
      <c r="B8" s="114">
        <f t="shared" si="0"/>
        <v>8112</v>
      </c>
      <c r="C8" s="60">
        <v>7882</v>
      </c>
      <c r="D8" s="11">
        <f t="shared" si="1"/>
        <v>230</v>
      </c>
      <c r="E8" s="12"/>
    </row>
    <row r="9" spans="1:5" x14ac:dyDescent="0.3">
      <c r="A9" t="s">
        <v>27</v>
      </c>
      <c r="B9" s="114">
        <f t="shared" si="0"/>
        <v>8112</v>
      </c>
      <c r="C9" s="60">
        <v>7882</v>
      </c>
      <c r="D9" s="11">
        <f t="shared" si="1"/>
        <v>230</v>
      </c>
      <c r="E9" s="12"/>
    </row>
    <row r="10" spans="1:5" x14ac:dyDescent="0.3">
      <c r="A10" t="s">
        <v>28</v>
      </c>
      <c r="B10" s="114">
        <f t="shared" si="0"/>
        <v>8112</v>
      </c>
      <c r="C10" s="60">
        <v>7882</v>
      </c>
      <c r="D10" s="11">
        <f t="shared" si="1"/>
        <v>230</v>
      </c>
      <c r="E10" s="12"/>
    </row>
    <row r="11" spans="1:5" x14ac:dyDescent="0.3">
      <c r="A11" t="s">
        <v>29</v>
      </c>
      <c r="B11" s="114">
        <f t="shared" si="0"/>
        <v>8112</v>
      </c>
      <c r="C11" s="60">
        <v>7882</v>
      </c>
      <c r="D11" s="11">
        <f t="shared" si="1"/>
        <v>230</v>
      </c>
      <c r="E11" s="12"/>
    </row>
    <row r="12" spans="1:5" x14ac:dyDescent="0.3">
      <c r="A12" t="s">
        <v>30</v>
      </c>
      <c r="B12" s="114">
        <f t="shared" si="0"/>
        <v>8112</v>
      </c>
      <c r="C12" s="60">
        <v>7882</v>
      </c>
      <c r="D12" s="11">
        <f t="shared" si="1"/>
        <v>230</v>
      </c>
      <c r="E12" s="12"/>
    </row>
    <row r="13" spans="1:5" x14ac:dyDescent="0.3">
      <c r="A13" t="s">
        <v>31</v>
      </c>
      <c r="B13" s="114">
        <f t="shared" si="0"/>
        <v>8112</v>
      </c>
      <c r="C13" s="60">
        <v>7882</v>
      </c>
      <c r="D13" s="11">
        <f t="shared" si="1"/>
        <v>230</v>
      </c>
      <c r="E13" s="12"/>
    </row>
    <row r="14" spans="1:5" x14ac:dyDescent="0.3">
      <c r="A14" t="s">
        <v>32</v>
      </c>
      <c r="B14" s="114">
        <f t="shared" si="0"/>
        <v>8112</v>
      </c>
      <c r="C14" s="60">
        <v>7882</v>
      </c>
      <c r="D14" s="11">
        <f t="shared" si="1"/>
        <v>230</v>
      </c>
      <c r="E14" s="12"/>
    </row>
    <row r="15" spans="1:5" x14ac:dyDescent="0.3">
      <c r="A15" t="s">
        <v>127</v>
      </c>
      <c r="B15" s="114">
        <f t="shared" si="0"/>
        <v>8112</v>
      </c>
      <c r="C15" s="60">
        <v>7882</v>
      </c>
      <c r="D15" s="11">
        <f t="shared" si="1"/>
        <v>230</v>
      </c>
      <c r="E15" s="136"/>
    </row>
    <row r="16" spans="1:5" x14ac:dyDescent="0.3">
      <c r="A16" t="s">
        <v>33</v>
      </c>
      <c r="B16" s="114">
        <f t="shared" si="0"/>
        <v>8112</v>
      </c>
      <c r="C16" s="60">
        <v>7882</v>
      </c>
      <c r="D16" s="11">
        <f t="shared" si="1"/>
        <v>230</v>
      </c>
      <c r="E16" s="12"/>
    </row>
    <row r="17" spans="1:10" x14ac:dyDescent="0.3">
      <c r="A17" t="s">
        <v>34</v>
      </c>
      <c r="B17" s="114">
        <f t="shared" si="0"/>
        <v>8112</v>
      </c>
      <c r="C17" s="60">
        <v>7882</v>
      </c>
      <c r="D17" s="11">
        <f t="shared" si="1"/>
        <v>230</v>
      </c>
      <c r="E17" s="12"/>
    </row>
    <row r="18" spans="1:10" x14ac:dyDescent="0.3">
      <c r="A18" t="s">
        <v>35</v>
      </c>
      <c r="B18" s="114">
        <f t="shared" si="0"/>
        <v>8112</v>
      </c>
      <c r="C18" s="60">
        <v>7882</v>
      </c>
      <c r="D18" s="11">
        <f t="shared" si="1"/>
        <v>230</v>
      </c>
      <c r="E18" s="12"/>
    </row>
    <row r="19" spans="1:10" x14ac:dyDescent="0.3">
      <c r="A19" t="s">
        <v>36</v>
      </c>
      <c r="B19" s="114">
        <f t="shared" si="0"/>
        <v>8112</v>
      </c>
      <c r="C19" s="60">
        <v>7882</v>
      </c>
      <c r="D19" s="11">
        <f t="shared" si="1"/>
        <v>230</v>
      </c>
      <c r="E19" s="12"/>
      <c r="J19" s="10"/>
    </row>
    <row r="20" spans="1:10" x14ac:dyDescent="0.3">
      <c r="A20" t="s">
        <v>37</v>
      </c>
      <c r="B20" s="114">
        <f t="shared" si="0"/>
        <v>8112</v>
      </c>
      <c r="C20" s="60">
        <v>7882</v>
      </c>
      <c r="D20" s="11">
        <f t="shared" si="1"/>
        <v>230</v>
      </c>
      <c r="E20" s="12"/>
    </row>
    <row r="21" spans="1:10" s="10" customFormat="1" x14ac:dyDescent="0.3">
      <c r="A21" s="10" t="s">
        <v>38</v>
      </c>
      <c r="B21" s="115">
        <f>SUM(B6:B20)</f>
        <v>121680</v>
      </c>
      <c r="C21" s="72">
        <f>SUM(C6:C20)</f>
        <v>118230</v>
      </c>
      <c r="D21" s="13">
        <f>SUM(D6:D20)</f>
        <v>3450</v>
      </c>
      <c r="J21"/>
    </row>
  </sheetData>
  <pageMargins left="0.7" right="0.7" top="0.75" bottom="0.75" header="0.3" footer="0.3"/>
  <pageSetup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2"/>
  <sheetViews>
    <sheetView workbookViewId="0">
      <selection activeCell="F34" sqref="F34"/>
    </sheetView>
  </sheetViews>
  <sheetFormatPr defaultRowHeight="14.4" x14ac:dyDescent="0.3"/>
  <cols>
    <col min="1" max="1" width="35.44140625" customWidth="1"/>
    <col min="2" max="2" width="14.33203125" customWidth="1"/>
    <col min="3" max="3" width="12.109375" customWidth="1"/>
    <col min="4" max="4" width="13.109375" customWidth="1"/>
    <col min="5" max="5" width="17.33203125" customWidth="1"/>
    <col min="6" max="7" width="16.6640625" customWidth="1"/>
    <col min="8" max="8" width="15.109375" bestFit="1" customWidth="1"/>
    <col min="9" max="9" width="12.6640625" customWidth="1"/>
  </cols>
  <sheetData>
    <row r="1" spans="1:14" ht="18" x14ac:dyDescent="0.35">
      <c r="A1" s="173" t="s">
        <v>101</v>
      </c>
      <c r="B1" s="173"/>
      <c r="C1" s="173"/>
      <c r="D1" s="173"/>
      <c r="E1" s="173"/>
      <c r="F1" s="173"/>
      <c r="G1" s="173"/>
      <c r="H1" s="173"/>
      <c r="I1" s="173"/>
      <c r="J1" s="173"/>
      <c r="K1" s="173"/>
      <c r="L1" s="173"/>
      <c r="M1" s="173"/>
      <c r="N1" s="173"/>
    </row>
    <row r="2" spans="1:14" ht="28.8" x14ac:dyDescent="0.3">
      <c r="A2" s="1"/>
      <c r="B2" s="1" t="s">
        <v>90</v>
      </c>
      <c r="C2" s="83">
        <v>100000</v>
      </c>
      <c r="D2" s="43"/>
      <c r="H2" s="10"/>
      <c r="I2" s="83"/>
    </row>
    <row r="3" spans="1:14" x14ac:dyDescent="0.3">
      <c r="A3" s="1"/>
    </row>
    <row r="4" spans="1:14" x14ac:dyDescent="0.3">
      <c r="A4" s="1"/>
      <c r="B4" s="153">
        <v>2023</v>
      </c>
      <c r="C4" s="51">
        <v>2023</v>
      </c>
      <c r="D4" s="153">
        <v>2022</v>
      </c>
      <c r="E4" s="16">
        <v>2022</v>
      </c>
      <c r="F4" s="16" t="s">
        <v>88</v>
      </c>
      <c r="G4" s="16">
        <v>2025</v>
      </c>
      <c r="H4" s="16">
        <v>2024</v>
      </c>
      <c r="I4" s="16"/>
      <c r="J4" s="17"/>
    </row>
    <row r="5" spans="1:14" x14ac:dyDescent="0.3">
      <c r="A5" s="28"/>
      <c r="B5" s="160" t="s">
        <v>46</v>
      </c>
      <c r="C5" s="85" t="s">
        <v>47</v>
      </c>
      <c r="D5" s="160" t="s">
        <v>89</v>
      </c>
      <c r="E5" s="85" t="s">
        <v>48</v>
      </c>
      <c r="F5" s="85" t="s">
        <v>71</v>
      </c>
      <c r="G5" s="85" t="s">
        <v>96</v>
      </c>
      <c r="H5" s="85" t="s">
        <v>96</v>
      </c>
      <c r="I5" s="88"/>
      <c r="J5" s="89"/>
      <c r="K5" s="86"/>
    </row>
    <row r="6" spans="1:14" x14ac:dyDescent="0.3">
      <c r="A6" s="30" t="s">
        <v>54</v>
      </c>
      <c r="B6" s="155">
        <f>'Buying pool summary'!B7</f>
        <v>647984</v>
      </c>
      <c r="C6" s="127">
        <f t="shared" ref="C6:C21" si="0">B6/$B$21</f>
        <v>9.7989353980159691E-2</v>
      </c>
      <c r="D6" s="157">
        <f>'Buying pool summary'!D7</f>
        <v>516513</v>
      </c>
      <c r="E6" s="25">
        <f t="shared" ref="E6:E21" si="1">D6/$D$21</f>
        <v>8.7522725258592213E-2</v>
      </c>
      <c r="F6" s="62">
        <f t="shared" ref="F6:F20" si="2">(($C6*3)+$E6)/4</f>
        <v>9.5372696799767828E-2</v>
      </c>
      <c r="G6" s="15">
        <f t="shared" ref="G6:G20" si="3">(($C6*3)+$E6)/4*$C$2</f>
        <v>9537.2696799767837</v>
      </c>
      <c r="H6" s="21">
        <v>9537.2696799767837</v>
      </c>
      <c r="I6" s="14"/>
      <c r="J6" s="90"/>
      <c r="K6" s="87"/>
    </row>
    <row r="7" spans="1:14" x14ac:dyDescent="0.3">
      <c r="A7" s="1" t="s">
        <v>86</v>
      </c>
      <c r="B7" s="155">
        <f>'Buying pool summary'!B8</f>
        <v>624836</v>
      </c>
      <c r="C7" s="127">
        <f t="shared" si="0"/>
        <v>9.4488870070166944E-2</v>
      </c>
      <c r="D7" s="157">
        <f>'Buying pool summary'!D8</f>
        <v>479853</v>
      </c>
      <c r="E7" s="25">
        <f t="shared" si="1"/>
        <v>8.1310716832899171E-2</v>
      </c>
      <c r="F7" s="62">
        <f t="shared" si="2"/>
        <v>9.1194331760850011E-2</v>
      </c>
      <c r="G7" s="15">
        <f t="shared" si="3"/>
        <v>9119.4331760850018</v>
      </c>
      <c r="H7" s="21">
        <v>9119.4331760850018</v>
      </c>
      <c r="I7" s="14"/>
      <c r="J7" s="90"/>
      <c r="K7" s="87"/>
    </row>
    <row r="8" spans="1:14" x14ac:dyDescent="0.3">
      <c r="A8" s="30" t="s">
        <v>55</v>
      </c>
      <c r="B8" s="155">
        <f>'Buying pool summary'!B9</f>
        <v>137844</v>
      </c>
      <c r="C8" s="127">
        <f t="shared" si="0"/>
        <v>2.0845027824824582E-2</v>
      </c>
      <c r="D8" s="157">
        <f>'Buying pool summary'!D9</f>
        <v>171589</v>
      </c>
      <c r="E8" s="25">
        <f t="shared" si="1"/>
        <v>2.9075622306498735E-2</v>
      </c>
      <c r="F8" s="62">
        <f t="shared" si="2"/>
        <v>2.290267644524312E-2</v>
      </c>
      <c r="G8" s="15">
        <f t="shared" si="3"/>
        <v>2290.2676445243119</v>
      </c>
      <c r="H8" s="21">
        <v>2290.2676445243119</v>
      </c>
      <c r="I8" s="14"/>
      <c r="J8" s="90"/>
      <c r="K8" s="87"/>
    </row>
    <row r="9" spans="1:14" x14ac:dyDescent="0.3">
      <c r="A9" s="30" t="s">
        <v>57</v>
      </c>
      <c r="B9" s="155">
        <f>'Buying pool summary'!B10</f>
        <v>92432</v>
      </c>
      <c r="C9" s="127">
        <f t="shared" si="0"/>
        <v>1.3977740140333898E-2</v>
      </c>
      <c r="D9" s="157">
        <f>'Buying pool summary'!D10</f>
        <v>121699</v>
      </c>
      <c r="E9" s="25">
        <f t="shared" si="1"/>
        <v>2.0621800692810083E-2</v>
      </c>
      <c r="F9" s="62">
        <f t="shared" si="2"/>
        <v>1.5638755278452945E-2</v>
      </c>
      <c r="G9" s="15">
        <f t="shared" si="3"/>
        <v>1563.8755278452945</v>
      </c>
      <c r="H9" s="21">
        <v>1563.8755278452945</v>
      </c>
      <c r="I9" s="14"/>
      <c r="J9" s="90"/>
      <c r="K9" s="87"/>
    </row>
    <row r="10" spans="1:14" x14ac:dyDescent="0.3">
      <c r="A10" s="30" t="s">
        <v>58</v>
      </c>
      <c r="B10" s="155">
        <f>'Buying pool summary'!B11</f>
        <v>630809</v>
      </c>
      <c r="C10" s="127">
        <f t="shared" si="0"/>
        <v>9.539211831599323E-2</v>
      </c>
      <c r="D10" s="157">
        <f>'Buying pool summary'!D11</f>
        <v>947344</v>
      </c>
      <c r="E10" s="25">
        <f t="shared" si="1"/>
        <v>0.16052670240124797</v>
      </c>
      <c r="F10" s="62">
        <f t="shared" si="2"/>
        <v>0.11167576433730692</v>
      </c>
      <c r="G10" s="15">
        <f t="shared" si="3"/>
        <v>11167.576433730692</v>
      </c>
      <c r="H10" s="21">
        <v>11167.576433730692</v>
      </c>
      <c r="I10" s="14"/>
      <c r="J10" s="90"/>
      <c r="K10" s="87"/>
    </row>
    <row r="11" spans="1:14" x14ac:dyDescent="0.3">
      <c r="A11" s="1" t="s">
        <v>59</v>
      </c>
      <c r="B11" s="155">
        <f>'Buying pool summary'!B12</f>
        <v>490807</v>
      </c>
      <c r="C11" s="127">
        <f t="shared" si="0"/>
        <v>7.4220753689813693E-2</v>
      </c>
      <c r="D11" s="157">
        <f>'Buying pool summary'!D12</f>
        <v>434568</v>
      </c>
      <c r="E11" s="25">
        <f t="shared" si="1"/>
        <v>7.363720887988473E-2</v>
      </c>
      <c r="F11" s="62">
        <f t="shared" si="2"/>
        <v>7.4074867487331456E-2</v>
      </c>
      <c r="G11" s="15">
        <f t="shared" si="3"/>
        <v>7407.4867487331458</v>
      </c>
      <c r="H11" s="21">
        <v>7407.4867487331458</v>
      </c>
      <c r="I11" s="14"/>
      <c r="J11" s="90"/>
      <c r="K11" s="87"/>
    </row>
    <row r="12" spans="1:14" x14ac:dyDescent="0.3">
      <c r="A12" s="30" t="s">
        <v>78</v>
      </c>
      <c r="B12" s="155">
        <f>'Buying pool summary'!B13</f>
        <v>442420</v>
      </c>
      <c r="C12" s="127">
        <f t="shared" si="0"/>
        <v>6.6903580933946286E-2</v>
      </c>
      <c r="D12" s="157">
        <f>'Buying pool summary'!D13</f>
        <v>452002</v>
      </c>
      <c r="E12" s="25">
        <f t="shared" si="1"/>
        <v>7.6591386591110394E-2</v>
      </c>
      <c r="F12" s="62">
        <f t="shared" si="2"/>
        <v>6.9325532348237323E-2</v>
      </c>
      <c r="G12" s="15">
        <f t="shared" si="3"/>
        <v>6932.5532348237321</v>
      </c>
      <c r="H12" s="21">
        <v>6932.5532348237321</v>
      </c>
      <c r="I12" s="14"/>
      <c r="J12" s="90"/>
      <c r="K12" s="87"/>
    </row>
    <row r="13" spans="1:14" x14ac:dyDescent="0.3">
      <c r="A13" s="30" t="s">
        <v>61</v>
      </c>
      <c r="B13" s="155">
        <f>'Buying pool summary'!B14</f>
        <v>240764</v>
      </c>
      <c r="C13" s="127">
        <f t="shared" si="0"/>
        <v>3.6408782966368257E-2</v>
      </c>
      <c r="D13" s="157">
        <f>'Buying pool summary'!D14</f>
        <v>152619</v>
      </c>
      <c r="E13" s="25">
        <f t="shared" si="1"/>
        <v>2.5861170592494449E-2</v>
      </c>
      <c r="F13" s="62">
        <f t="shared" si="2"/>
        <v>3.3771879872899806E-2</v>
      </c>
      <c r="G13" s="15">
        <f t="shared" si="3"/>
        <v>3377.1879872899804</v>
      </c>
      <c r="H13" s="21">
        <v>3377.1879872899804</v>
      </c>
      <c r="I13" s="14"/>
      <c r="J13" s="90"/>
      <c r="K13" s="87"/>
    </row>
    <row r="14" spans="1:14" x14ac:dyDescent="0.3">
      <c r="A14" s="30" t="s">
        <v>77</v>
      </c>
      <c r="B14" s="155">
        <f>'Buying pool summary'!B15</f>
        <v>261272</v>
      </c>
      <c r="C14" s="127">
        <f t="shared" si="0"/>
        <v>3.9510041132349384E-2</v>
      </c>
      <c r="D14" s="157">
        <f>'Buying pool summary'!D15</f>
        <v>253868</v>
      </c>
      <c r="E14" s="25">
        <f t="shared" si="1"/>
        <v>4.3017734724872927E-2</v>
      </c>
      <c r="F14" s="62">
        <f t="shared" si="2"/>
        <v>4.0386964530480268E-2</v>
      </c>
      <c r="G14" s="15">
        <f t="shared" si="3"/>
        <v>4038.6964530480268</v>
      </c>
      <c r="H14" s="21">
        <v>4038.6964530480268</v>
      </c>
      <c r="I14" s="14"/>
      <c r="J14" s="90"/>
      <c r="K14" s="87"/>
    </row>
    <row r="15" spans="1:14" x14ac:dyDescent="0.3">
      <c r="A15" s="30" t="s">
        <v>124</v>
      </c>
      <c r="B15" s="155">
        <f>'Buying pool summary'!B16</f>
        <v>371777</v>
      </c>
      <c r="C15" s="127">
        <f t="shared" si="0"/>
        <v>5.622081417856279E-2</v>
      </c>
      <c r="D15" s="157">
        <f>'Buying pool summary'!D16</f>
        <v>452764</v>
      </c>
      <c r="E15" s="25">
        <f t="shared" si="1"/>
        <v>7.6720506897176355E-2</v>
      </c>
      <c r="F15" s="62">
        <f t="shared" si="2"/>
        <v>6.1345737358216183E-2</v>
      </c>
      <c r="G15" s="15">
        <f t="shared" si="3"/>
        <v>6134.5737358216184</v>
      </c>
      <c r="H15" s="21">
        <v>6134.5737358216184</v>
      </c>
      <c r="I15" s="136"/>
      <c r="J15" s="90"/>
      <c r="K15" s="87"/>
    </row>
    <row r="16" spans="1:14" x14ac:dyDescent="0.3">
      <c r="A16" s="30" t="s">
        <v>63</v>
      </c>
      <c r="B16" s="155">
        <f>'Buying pool summary'!B17</f>
        <v>1551476</v>
      </c>
      <c r="C16" s="127">
        <f t="shared" si="0"/>
        <v>0.23461710621824342</v>
      </c>
      <c r="D16" s="157">
        <f>'Buying pool summary'!D17</f>
        <v>879576</v>
      </c>
      <c r="E16" s="25">
        <f t="shared" si="1"/>
        <v>0.14904346762240545</v>
      </c>
      <c r="F16" s="62">
        <f t="shared" si="2"/>
        <v>0.21322369656928392</v>
      </c>
      <c r="G16" s="15">
        <f t="shared" si="3"/>
        <v>21322.369656928393</v>
      </c>
      <c r="H16" s="21">
        <v>21322.369656928393</v>
      </c>
      <c r="I16" s="14"/>
      <c r="J16" s="90"/>
      <c r="K16" s="87"/>
    </row>
    <row r="17" spans="1:11" x14ac:dyDescent="0.3">
      <c r="A17" s="30" t="s">
        <v>64</v>
      </c>
      <c r="B17" s="155">
        <f>'Buying pool summary'!B18</f>
        <v>137408</v>
      </c>
      <c r="C17" s="127">
        <f t="shared" si="0"/>
        <v>2.0779095088313573E-2</v>
      </c>
      <c r="D17" s="157">
        <f>'Buying pool summary'!D18</f>
        <v>128425</v>
      </c>
      <c r="E17" s="25">
        <f t="shared" si="1"/>
        <v>2.1761516150289935E-2</v>
      </c>
      <c r="F17" s="62">
        <f t="shared" si="2"/>
        <v>2.1024700353807664E-2</v>
      </c>
      <c r="G17" s="15">
        <f t="shared" si="3"/>
        <v>2102.4700353807666</v>
      </c>
      <c r="H17" s="21">
        <v>2102.4700353807666</v>
      </c>
      <c r="I17" s="14"/>
      <c r="J17" s="90"/>
      <c r="K17" s="87"/>
    </row>
    <row r="18" spans="1:11" x14ac:dyDescent="0.3">
      <c r="A18" s="30" t="s">
        <v>65</v>
      </c>
      <c r="B18" s="155">
        <f>'Buying pool summary'!B19</f>
        <v>344617</v>
      </c>
      <c r="C18" s="127">
        <f t="shared" si="0"/>
        <v>5.2113628115170577E-2</v>
      </c>
      <c r="D18" s="157">
        <f>'Buying pool summary'!D19</f>
        <v>291002</v>
      </c>
      <c r="E18" s="25">
        <f t="shared" si="1"/>
        <v>4.9310062081110939E-2</v>
      </c>
      <c r="F18" s="62">
        <f t="shared" si="2"/>
        <v>5.1412736606655671E-2</v>
      </c>
      <c r="G18" s="15">
        <f t="shared" si="3"/>
        <v>5141.2736606655671</v>
      </c>
      <c r="H18" s="21">
        <v>5141.2736606655671</v>
      </c>
      <c r="I18" s="14"/>
      <c r="J18" s="90"/>
      <c r="K18" s="87"/>
    </row>
    <row r="19" spans="1:11" x14ac:dyDescent="0.3">
      <c r="A19" s="30" t="s">
        <v>66</v>
      </c>
      <c r="B19" s="155">
        <f>'Buying pool summary'!B20</f>
        <v>309434</v>
      </c>
      <c r="C19" s="127">
        <f t="shared" si="0"/>
        <v>4.6793188966852167E-2</v>
      </c>
      <c r="D19" s="157">
        <f>'Buying pool summary'!D20</f>
        <v>333010</v>
      </c>
      <c r="E19" s="25">
        <f t="shared" si="1"/>
        <v>5.6428284938353529E-2</v>
      </c>
      <c r="F19" s="62">
        <f t="shared" si="2"/>
        <v>4.9201962959727508E-2</v>
      </c>
      <c r="G19" s="15">
        <f t="shared" si="3"/>
        <v>4920.1962959727507</v>
      </c>
      <c r="H19" s="21">
        <v>4920.1962959727507</v>
      </c>
      <c r="I19" s="14"/>
      <c r="J19" s="90"/>
      <c r="K19" s="87"/>
    </row>
    <row r="20" spans="1:11" x14ac:dyDescent="0.3">
      <c r="A20" s="30" t="s">
        <v>67</v>
      </c>
      <c r="B20" s="155">
        <f>'Buying pool summary'!B21</f>
        <v>328920</v>
      </c>
      <c r="C20" s="127">
        <f t="shared" si="0"/>
        <v>4.9739898378901526E-2</v>
      </c>
      <c r="D20" s="157">
        <f>'Buying pool summary'!D21</f>
        <v>286641</v>
      </c>
      <c r="E20" s="25">
        <f t="shared" si="1"/>
        <v>4.8571094030253122E-2</v>
      </c>
      <c r="F20" s="62">
        <f t="shared" si="2"/>
        <v>4.9447697291739423E-2</v>
      </c>
      <c r="G20" s="15">
        <f t="shared" si="3"/>
        <v>4944.7697291739423</v>
      </c>
      <c r="H20" s="21">
        <v>4944.7697291739423</v>
      </c>
      <c r="I20" s="14"/>
      <c r="J20" s="90"/>
      <c r="K20" s="87"/>
    </row>
    <row r="21" spans="1:11" x14ac:dyDescent="0.3">
      <c r="A21" s="7" t="s">
        <v>68</v>
      </c>
      <c r="B21" s="156">
        <f>SUM(B6:B20)</f>
        <v>6612800</v>
      </c>
      <c r="C21" s="127">
        <f t="shared" si="0"/>
        <v>1</v>
      </c>
      <c r="D21" s="156">
        <f>SUM(D6:D20)</f>
        <v>5901473</v>
      </c>
      <c r="E21" s="25">
        <f t="shared" si="1"/>
        <v>1</v>
      </c>
      <c r="F21" s="25">
        <f>SUM(F6:F20)</f>
        <v>1</v>
      </c>
      <c r="G21" s="100">
        <f>SUM(G6:G20)</f>
        <v>100000.00000000001</v>
      </c>
      <c r="H21" s="21">
        <f>SUM(H6:H20)</f>
        <v>100000.00000000001</v>
      </c>
      <c r="I21" s="11"/>
      <c r="J21" s="45"/>
      <c r="K21" s="44"/>
    </row>
    <row r="22" spans="1:11" x14ac:dyDescent="0.3">
      <c r="B22" s="116"/>
    </row>
  </sheetData>
  <mergeCells count="1">
    <mergeCell ref="A1:N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41"/>
  <sheetViews>
    <sheetView zoomScaleNormal="100" workbookViewId="0">
      <selection activeCell="L6" sqref="L6"/>
    </sheetView>
  </sheetViews>
  <sheetFormatPr defaultColWidth="9.33203125" defaultRowHeight="14.4" x14ac:dyDescent="0.3"/>
  <cols>
    <col min="1" max="1" width="38.44140625" style="1" customWidth="1"/>
    <col min="2" max="2" width="11.6640625" customWidth="1"/>
    <col min="3" max="3" width="9.6640625" customWidth="1"/>
    <col min="4" max="4" width="13.6640625" customWidth="1"/>
    <col min="5" max="6" width="15.33203125" customWidth="1"/>
    <col min="7" max="7" width="17.6640625" customWidth="1"/>
    <col min="8" max="8" width="15.44140625" customWidth="1"/>
    <col min="9" max="9" width="16.5546875" customWidth="1"/>
    <col min="10" max="10" width="22.6640625" bestFit="1" customWidth="1"/>
    <col min="11" max="11" width="26.6640625" customWidth="1"/>
    <col min="12" max="12" width="11.5546875" bestFit="1" customWidth="1"/>
    <col min="13" max="13" width="10.5546875" bestFit="1" customWidth="1"/>
  </cols>
  <sheetData>
    <row r="2" spans="1:14" x14ac:dyDescent="0.3">
      <c r="D2" s="43"/>
      <c r="G2" s="10" t="s">
        <v>40</v>
      </c>
      <c r="H2" s="83">
        <v>1383610</v>
      </c>
      <c r="I2" t="s">
        <v>41</v>
      </c>
    </row>
    <row r="3" spans="1:14" x14ac:dyDescent="0.3">
      <c r="D3" s="43"/>
      <c r="E3" s="84"/>
      <c r="G3" s="10" t="s">
        <v>42</v>
      </c>
      <c r="H3" s="83">
        <v>157500</v>
      </c>
      <c r="I3" t="s">
        <v>43</v>
      </c>
    </row>
    <row r="4" spans="1:14" x14ac:dyDescent="0.3">
      <c r="D4" s="84"/>
      <c r="E4" s="84"/>
      <c r="G4" s="104" t="s">
        <v>80</v>
      </c>
      <c r="H4" s="105">
        <f>SUM(H2:H3)</f>
        <v>1541110</v>
      </c>
    </row>
    <row r="5" spans="1:14" x14ac:dyDescent="0.3">
      <c r="B5" s="153">
        <v>2023</v>
      </c>
      <c r="C5" s="51">
        <v>2023</v>
      </c>
      <c r="D5" s="153">
        <v>2022</v>
      </c>
      <c r="E5" s="51">
        <v>2022</v>
      </c>
      <c r="F5" s="16" t="s">
        <v>40</v>
      </c>
      <c r="G5" s="10" t="s">
        <v>44</v>
      </c>
      <c r="H5" s="51">
        <v>2023</v>
      </c>
      <c r="I5" s="16">
        <v>2023</v>
      </c>
      <c r="J5" s="10" t="s">
        <v>42</v>
      </c>
      <c r="K5" s="122">
        <v>2025</v>
      </c>
      <c r="L5" s="17">
        <v>2024</v>
      </c>
    </row>
    <row r="6" spans="1:14" x14ac:dyDescent="0.3">
      <c r="A6" s="28"/>
      <c r="B6" s="154" t="s">
        <v>112</v>
      </c>
      <c r="C6" s="19" t="s">
        <v>47</v>
      </c>
      <c r="D6" s="154" t="s">
        <v>87</v>
      </c>
      <c r="E6" s="126" t="s">
        <v>48</v>
      </c>
      <c r="F6" s="19" t="s">
        <v>71</v>
      </c>
      <c r="G6" s="47" t="s">
        <v>49</v>
      </c>
      <c r="H6" s="48" t="s">
        <v>50</v>
      </c>
      <c r="I6" s="19" t="s">
        <v>51</v>
      </c>
      <c r="J6" s="19" t="s">
        <v>52</v>
      </c>
      <c r="K6" s="123" t="s">
        <v>84</v>
      </c>
      <c r="L6" s="49" t="s">
        <v>83</v>
      </c>
      <c r="M6" s="50" t="s">
        <v>73</v>
      </c>
    </row>
    <row r="7" spans="1:14" x14ac:dyDescent="0.3">
      <c r="A7" s="30" t="s">
        <v>54</v>
      </c>
      <c r="B7" s="155">
        <v>647984</v>
      </c>
      <c r="C7" s="25">
        <f t="shared" ref="C7:C21" si="0">B7/$B$22</f>
        <v>9.7989353980159691E-2</v>
      </c>
      <c r="D7" s="157">
        <v>516513</v>
      </c>
      <c r="E7" s="25">
        <f t="shared" ref="E7:E15" si="1">D7/$D$22</f>
        <v>8.7522725258592213E-2</v>
      </c>
      <c r="F7" s="61">
        <f t="shared" ref="F7:F21" si="2">(($C7*3)+$E7)/4</f>
        <v>9.5372696799767828E-2</v>
      </c>
      <c r="G7" s="21">
        <f>((C7*3)+E7)/4*$H$2</f>
        <v>131958.61701912677</v>
      </c>
      <c r="H7" s="158">
        <v>408417</v>
      </c>
      <c r="I7" s="62">
        <f t="shared" ref="I7:I21" si="3">H7/$H$22</f>
        <v>0.10936528466191628</v>
      </c>
      <c r="J7" s="21">
        <f t="shared" ref="J7:J21" si="4">I7*$H$3</f>
        <v>17225.032334251813</v>
      </c>
      <c r="K7" s="124">
        <f t="shared" ref="K7:K21" si="5">G7+J7</f>
        <v>149183.6493533786</v>
      </c>
      <c r="L7" s="159">
        <v>142820.19227750448</v>
      </c>
      <c r="M7" s="54">
        <f>K7-L7</f>
        <v>6363.4570758741174</v>
      </c>
    </row>
    <row r="8" spans="1:14" x14ac:dyDescent="0.3">
      <c r="A8" s="1" t="s">
        <v>86</v>
      </c>
      <c r="B8" s="155">
        <v>624836</v>
      </c>
      <c r="C8" s="25">
        <f t="shared" si="0"/>
        <v>9.4488870070166944E-2</v>
      </c>
      <c r="D8" s="157">
        <v>479853</v>
      </c>
      <c r="E8" s="25">
        <f t="shared" si="1"/>
        <v>8.1310716832899171E-2</v>
      </c>
      <c r="F8" s="61">
        <f t="shared" si="2"/>
        <v>9.1194331760850011E-2</v>
      </c>
      <c r="G8" s="21">
        <f t="shared" ref="G8:G21" si="6">((C8*3)+E8)/4*$H$2</f>
        <v>126177.38936762969</v>
      </c>
      <c r="H8" s="158">
        <v>350277</v>
      </c>
      <c r="I8" s="62">
        <f t="shared" si="3"/>
        <v>9.3796643664494986E-2</v>
      </c>
      <c r="J8" s="21">
        <f t="shared" si="4"/>
        <v>14772.971377157961</v>
      </c>
      <c r="K8" s="124">
        <f t="shared" si="5"/>
        <v>140950.36074478764</v>
      </c>
      <c r="L8" s="159">
        <v>134865.69254104022</v>
      </c>
      <c r="M8" s="54">
        <f t="shared" ref="M8:M21" si="7">K8-L8</f>
        <v>6084.6682037474238</v>
      </c>
    </row>
    <row r="9" spans="1:14" x14ac:dyDescent="0.3">
      <c r="A9" s="30" t="s">
        <v>55</v>
      </c>
      <c r="B9" s="155">
        <v>137844</v>
      </c>
      <c r="C9" s="25">
        <f t="shared" si="0"/>
        <v>2.0845027824824582E-2</v>
      </c>
      <c r="D9" s="157">
        <v>171589</v>
      </c>
      <c r="E9" s="25">
        <f t="shared" si="1"/>
        <v>2.9075622306498735E-2</v>
      </c>
      <c r="F9" s="61">
        <f t="shared" si="2"/>
        <v>2.290267644524312E-2</v>
      </c>
      <c r="G9" s="21">
        <f t="shared" si="6"/>
        <v>31688.372156402835</v>
      </c>
      <c r="H9" s="158">
        <v>80997</v>
      </c>
      <c r="I9" s="62">
        <f t="shared" si="3"/>
        <v>2.1689253781701626E-2</v>
      </c>
      <c r="J9" s="21">
        <f t="shared" si="4"/>
        <v>3416.0574706180059</v>
      </c>
      <c r="K9" s="124">
        <f t="shared" si="5"/>
        <v>35104.429627020843</v>
      </c>
      <c r="L9" s="159">
        <v>33576.317249241329</v>
      </c>
      <c r="M9" s="54">
        <f t="shared" si="7"/>
        <v>1528.1123777795146</v>
      </c>
    </row>
    <row r="10" spans="1:14" x14ac:dyDescent="0.3">
      <c r="A10" s="30" t="s">
        <v>57</v>
      </c>
      <c r="B10" s="155">
        <v>92432</v>
      </c>
      <c r="C10" s="25">
        <f t="shared" si="0"/>
        <v>1.3977740140333898E-2</v>
      </c>
      <c r="D10" s="157">
        <v>121699</v>
      </c>
      <c r="E10" s="25">
        <f t="shared" si="1"/>
        <v>2.0621800692810083E-2</v>
      </c>
      <c r="F10" s="61">
        <f t="shared" si="2"/>
        <v>1.5638755278452945E-2</v>
      </c>
      <c r="G10" s="21">
        <f t="shared" si="6"/>
        <v>21637.938190820281</v>
      </c>
      <c r="H10" s="158">
        <v>45543</v>
      </c>
      <c r="I10" s="62">
        <f t="shared" si="3"/>
        <v>1.2195435447980013E-2</v>
      </c>
      <c r="J10" s="21">
        <f t="shared" si="4"/>
        <v>1920.7810830568521</v>
      </c>
      <c r="K10" s="124">
        <f t="shared" si="5"/>
        <v>23558.719273877134</v>
      </c>
      <c r="L10" s="159">
        <v>22515.270244188196</v>
      </c>
      <c r="M10" s="54">
        <f t="shared" si="7"/>
        <v>1043.449029688938</v>
      </c>
    </row>
    <row r="11" spans="1:14" ht="16.2" customHeight="1" x14ac:dyDescent="0.3">
      <c r="A11" s="30" t="s">
        <v>58</v>
      </c>
      <c r="B11" s="155">
        <v>630809</v>
      </c>
      <c r="C11" s="25">
        <f t="shared" si="0"/>
        <v>9.539211831599323E-2</v>
      </c>
      <c r="D11" s="157">
        <v>947344</v>
      </c>
      <c r="E11" s="25">
        <f t="shared" si="1"/>
        <v>0.16052670240124797</v>
      </c>
      <c r="F11" s="61">
        <f t="shared" si="2"/>
        <v>0.11167576433730692</v>
      </c>
      <c r="G11" s="21">
        <f t="shared" si="6"/>
        <v>154515.70429474121</v>
      </c>
      <c r="H11" s="158">
        <v>405553</v>
      </c>
      <c r="I11" s="62">
        <f t="shared" si="3"/>
        <v>0.1085983670868111</v>
      </c>
      <c r="J11" s="21">
        <f t="shared" si="4"/>
        <v>17104.242816172748</v>
      </c>
      <c r="K11" s="124">
        <f t="shared" si="5"/>
        <v>171619.94711091396</v>
      </c>
      <c r="L11" s="159">
        <v>164168.71676280018</v>
      </c>
      <c r="M11" s="54">
        <f t="shared" si="7"/>
        <v>7451.2303481137787</v>
      </c>
    </row>
    <row r="12" spans="1:14" x14ac:dyDescent="0.3">
      <c r="A12" s="1" t="s">
        <v>59</v>
      </c>
      <c r="B12" s="155">
        <v>490807</v>
      </c>
      <c r="C12" s="25">
        <f t="shared" si="0"/>
        <v>7.4220753689813693E-2</v>
      </c>
      <c r="D12" s="157">
        <v>434568</v>
      </c>
      <c r="E12" s="25">
        <f t="shared" si="1"/>
        <v>7.363720887988473E-2</v>
      </c>
      <c r="F12" s="61">
        <f t="shared" si="2"/>
        <v>7.4074867487331456E-2</v>
      </c>
      <c r="G12" s="21">
        <f>((C12*3)+E12)/4*$H$2</f>
        <v>102490.72740414667</v>
      </c>
      <c r="H12" s="158">
        <v>255415</v>
      </c>
      <c r="I12" s="62">
        <f t="shared" si="3"/>
        <v>6.8394641216999646E-2</v>
      </c>
      <c r="J12" s="21">
        <f>I12*$H$3</f>
        <v>10772.155991677444</v>
      </c>
      <c r="K12" s="124">
        <f t="shared" si="5"/>
        <v>113262.88339582412</v>
      </c>
      <c r="L12" s="159">
        <v>108320.46008733439</v>
      </c>
      <c r="M12" s="54">
        <f t="shared" si="7"/>
        <v>4942.4233084897278</v>
      </c>
    </row>
    <row r="13" spans="1:14" x14ac:dyDescent="0.3">
      <c r="A13" s="30" t="s">
        <v>60</v>
      </c>
      <c r="B13" s="155">
        <v>442420</v>
      </c>
      <c r="C13" s="25">
        <f t="shared" si="0"/>
        <v>6.6903580933946286E-2</v>
      </c>
      <c r="D13" s="155">
        <v>452002</v>
      </c>
      <c r="E13" s="25">
        <f t="shared" si="1"/>
        <v>7.6591386591110394E-2</v>
      </c>
      <c r="F13" s="61">
        <f t="shared" si="2"/>
        <v>6.9325532348237323E-2</v>
      </c>
      <c r="G13" s="21">
        <f>((C13*3)+E13)/4*$H$2</f>
        <v>95919.499812344642</v>
      </c>
      <c r="H13" s="158">
        <v>249662</v>
      </c>
      <c r="I13" s="62">
        <f t="shared" si="3"/>
        <v>6.6854111604716118E-2</v>
      </c>
      <c r="J13" s="21">
        <f t="shared" si="4"/>
        <v>10529.52257774279</v>
      </c>
      <c r="K13" s="124">
        <f t="shared" si="5"/>
        <v>106449.02239008743</v>
      </c>
      <c r="L13" s="159">
        <v>101823.48422074833</v>
      </c>
      <c r="M13" s="54">
        <f t="shared" si="7"/>
        <v>4625.5381693390955</v>
      </c>
    </row>
    <row r="14" spans="1:14" x14ac:dyDescent="0.3">
      <c r="A14" s="30" t="s">
        <v>61</v>
      </c>
      <c r="B14" s="155">
        <v>240764</v>
      </c>
      <c r="C14" s="25">
        <f t="shared" si="0"/>
        <v>3.6408782966368257E-2</v>
      </c>
      <c r="D14" s="157">
        <v>152619</v>
      </c>
      <c r="E14" s="25">
        <f t="shared" si="1"/>
        <v>2.5861170592494449E-2</v>
      </c>
      <c r="F14" s="61">
        <f t="shared" si="2"/>
        <v>3.3771879872899806E-2</v>
      </c>
      <c r="G14" s="21">
        <f t="shared" si="6"/>
        <v>46727.110710942899</v>
      </c>
      <c r="H14" s="158">
        <v>116386</v>
      </c>
      <c r="I14" s="62">
        <f t="shared" si="3"/>
        <v>3.1165666514032932E-2</v>
      </c>
      <c r="J14" s="21">
        <f t="shared" si="4"/>
        <v>4908.5924759601867</v>
      </c>
      <c r="K14" s="124">
        <f t="shared" si="5"/>
        <v>51635.703186903083</v>
      </c>
      <c r="L14" s="159">
        <v>49382.375818023465</v>
      </c>
      <c r="M14" s="54">
        <f t="shared" si="7"/>
        <v>2253.327368879618</v>
      </c>
    </row>
    <row r="15" spans="1:14" ht="15.6" customHeight="1" x14ac:dyDescent="0.3">
      <c r="A15" s="30" t="s">
        <v>62</v>
      </c>
      <c r="B15" s="155">
        <v>261272</v>
      </c>
      <c r="C15" s="25">
        <f t="shared" si="0"/>
        <v>3.9510041132349384E-2</v>
      </c>
      <c r="D15" s="155">
        <v>253868</v>
      </c>
      <c r="E15" s="25">
        <f t="shared" si="1"/>
        <v>4.3017734724872927E-2</v>
      </c>
      <c r="F15" s="61">
        <f t="shared" si="2"/>
        <v>4.0386964530480268E-2</v>
      </c>
      <c r="G15" s="21">
        <f t="shared" si="6"/>
        <v>55879.807994017807</v>
      </c>
      <c r="H15" s="158">
        <v>147439</v>
      </c>
      <c r="I15" s="62">
        <f t="shared" si="3"/>
        <v>3.948099174438937E-2</v>
      </c>
      <c r="J15" s="21">
        <f t="shared" si="4"/>
        <v>6218.2561997413259</v>
      </c>
      <c r="K15" s="124">
        <f t="shared" si="5"/>
        <v>62098.064193759135</v>
      </c>
      <c r="L15" s="159">
        <v>59403.365146356431</v>
      </c>
      <c r="M15" s="54">
        <f t="shared" si="7"/>
        <v>2694.6990474027043</v>
      </c>
    </row>
    <row r="16" spans="1:14" ht="15.6" customHeight="1" x14ac:dyDescent="0.3">
      <c r="A16" s="30" t="s">
        <v>128</v>
      </c>
      <c r="B16" s="155">
        <v>371777</v>
      </c>
      <c r="C16" s="25">
        <f t="shared" si="0"/>
        <v>5.622081417856279E-2</v>
      </c>
      <c r="D16" s="155">
        <v>452764</v>
      </c>
      <c r="E16" s="25">
        <f t="shared" ref="E16:E17" si="8">D16/$D$22</f>
        <v>7.6720506897176355E-2</v>
      </c>
      <c r="F16" s="61">
        <f t="shared" si="2"/>
        <v>6.1345737358216183E-2</v>
      </c>
      <c r="G16" s="21">
        <f t="shared" si="6"/>
        <v>84878.57566620149</v>
      </c>
      <c r="H16" s="158">
        <v>198169</v>
      </c>
      <c r="I16" s="62">
        <f t="shared" si="3"/>
        <v>5.3065394183315795E-2</v>
      </c>
      <c r="J16" s="21">
        <f>I16*$H$3</f>
        <v>8357.7995838722381</v>
      </c>
      <c r="K16" s="124">
        <f t="shared" si="5"/>
        <v>93236.375250073732</v>
      </c>
      <c r="L16" s="159">
        <v>89143.264962058834</v>
      </c>
      <c r="M16" s="54">
        <f t="shared" si="7"/>
        <v>4093.1102880148974</v>
      </c>
      <c r="N16" s="136"/>
    </row>
    <row r="17" spans="1:13" x14ac:dyDescent="0.3">
      <c r="A17" s="30" t="s">
        <v>63</v>
      </c>
      <c r="B17" s="155">
        <v>1551476</v>
      </c>
      <c r="C17" s="25">
        <f t="shared" si="0"/>
        <v>0.23461710621824342</v>
      </c>
      <c r="D17" s="157">
        <v>879576</v>
      </c>
      <c r="E17" s="25">
        <f t="shared" si="8"/>
        <v>0.14904346762240545</v>
      </c>
      <c r="F17" s="61">
        <f t="shared" si="2"/>
        <v>0.21322369656928392</v>
      </c>
      <c r="G17" s="21">
        <f t="shared" si="6"/>
        <v>295018.43881022691</v>
      </c>
      <c r="H17" s="158">
        <v>873402</v>
      </c>
      <c r="I17" s="62">
        <f t="shared" si="3"/>
        <v>0.23387826254609137</v>
      </c>
      <c r="J17" s="21">
        <f t="shared" si="4"/>
        <v>36835.826351009389</v>
      </c>
      <c r="K17" s="124">
        <f t="shared" si="5"/>
        <v>331854.26516123628</v>
      </c>
      <c r="L17" s="159">
        <v>317627.55367874051</v>
      </c>
      <c r="M17" s="54">
        <f t="shared" si="7"/>
        <v>14226.711482495768</v>
      </c>
    </row>
    <row r="18" spans="1:13" x14ac:dyDescent="0.3">
      <c r="A18" s="30" t="s">
        <v>64</v>
      </c>
      <c r="B18" s="155">
        <v>137408</v>
      </c>
      <c r="C18" s="25">
        <f t="shared" si="0"/>
        <v>2.0779095088313573E-2</v>
      </c>
      <c r="D18" s="157">
        <v>128425</v>
      </c>
      <c r="E18" s="25">
        <f>D18/$D$22</f>
        <v>2.1761516150289935E-2</v>
      </c>
      <c r="F18" s="61">
        <f t="shared" si="2"/>
        <v>2.1024700353807664E-2</v>
      </c>
      <c r="G18" s="21">
        <f t="shared" si="6"/>
        <v>29089.985656531822</v>
      </c>
      <c r="H18" s="158">
        <v>65057</v>
      </c>
      <c r="I18" s="62">
        <f t="shared" si="3"/>
        <v>1.7420864763832766E-2</v>
      </c>
      <c r="J18" s="21">
        <f>I18*$H$3</f>
        <v>2743.7862003036607</v>
      </c>
      <c r="K18" s="124">
        <f t="shared" si="5"/>
        <v>31833.771856835483</v>
      </c>
      <c r="L18" s="159">
        <v>30430.961799828729</v>
      </c>
      <c r="M18" s="54">
        <f t="shared" si="7"/>
        <v>1402.8100570067545</v>
      </c>
    </row>
    <row r="19" spans="1:13" x14ac:dyDescent="0.3">
      <c r="A19" s="30" t="s">
        <v>65</v>
      </c>
      <c r="B19" s="155">
        <v>344617</v>
      </c>
      <c r="C19" s="25">
        <f t="shared" si="0"/>
        <v>5.2113628115170577E-2</v>
      </c>
      <c r="D19" s="157">
        <v>291002</v>
      </c>
      <c r="E19" s="25">
        <f>D19/$D$22</f>
        <v>4.9310062081110939E-2</v>
      </c>
      <c r="F19" s="61">
        <f t="shared" si="2"/>
        <v>5.1412736606655671E-2</v>
      </c>
      <c r="G19" s="21">
        <f t="shared" si="6"/>
        <v>71135.176496334854</v>
      </c>
      <c r="H19" s="158">
        <v>163336</v>
      </c>
      <c r="I19" s="62">
        <f t="shared" si="3"/>
        <v>4.3737866287492336E-2</v>
      </c>
      <c r="J19" s="21">
        <f t="shared" si="4"/>
        <v>6888.7139402800431</v>
      </c>
      <c r="K19" s="124">
        <f t="shared" si="5"/>
        <v>78023.890436614893</v>
      </c>
      <c r="L19" s="159">
        <v>74593.529824745608</v>
      </c>
      <c r="M19" s="54">
        <f t="shared" si="7"/>
        <v>3430.3606118692842</v>
      </c>
    </row>
    <row r="20" spans="1:13" x14ac:dyDescent="0.3">
      <c r="A20" s="30" t="s">
        <v>66</v>
      </c>
      <c r="B20" s="155">
        <v>309434</v>
      </c>
      <c r="C20" s="25">
        <f t="shared" si="0"/>
        <v>4.6793188966852167E-2</v>
      </c>
      <c r="D20" s="157">
        <v>333010</v>
      </c>
      <c r="E20" s="25">
        <f>D20/$D$22</f>
        <v>5.6428284938353529E-2</v>
      </c>
      <c r="F20" s="61">
        <f t="shared" si="2"/>
        <v>4.9201962959727508E-2</v>
      </c>
      <c r="G20" s="21">
        <f t="shared" si="6"/>
        <v>68076.327970708575</v>
      </c>
      <c r="H20" s="158">
        <v>223322</v>
      </c>
      <c r="I20" s="62">
        <f t="shared" si="3"/>
        <v>5.9800826364398318E-2</v>
      </c>
      <c r="J20" s="21">
        <f t="shared" si="4"/>
        <v>9418.6301523927359</v>
      </c>
      <c r="K20" s="124">
        <f t="shared" si="5"/>
        <v>77494.958123101314</v>
      </c>
      <c r="L20" s="159">
        <v>74212.104750502374</v>
      </c>
      <c r="M20" s="54">
        <f t="shared" si="7"/>
        <v>3282.85337259894</v>
      </c>
    </row>
    <row r="21" spans="1:13" x14ac:dyDescent="0.3">
      <c r="A21" s="30" t="s">
        <v>67</v>
      </c>
      <c r="B21" s="155">
        <v>328920</v>
      </c>
      <c r="C21" s="25">
        <f t="shared" si="0"/>
        <v>4.9739898378901526E-2</v>
      </c>
      <c r="D21" s="157">
        <v>286641</v>
      </c>
      <c r="E21" s="25">
        <f>D21/$D$22</f>
        <v>4.8571094030253122E-2</v>
      </c>
      <c r="F21" s="61">
        <f t="shared" si="2"/>
        <v>4.9447697291739423E-2</v>
      </c>
      <c r="G21" s="21">
        <f t="shared" si="6"/>
        <v>68416.328449823588</v>
      </c>
      <c r="H21" s="158">
        <v>151455</v>
      </c>
      <c r="I21" s="62">
        <f t="shared" si="3"/>
        <v>4.0556390131827345E-2</v>
      </c>
      <c r="J21" s="21">
        <f t="shared" si="4"/>
        <v>6387.6314457628068</v>
      </c>
      <c r="K21" s="124">
        <f t="shared" si="5"/>
        <v>74803.959895586391</v>
      </c>
      <c r="L21" s="159">
        <v>71504.710636886957</v>
      </c>
      <c r="M21" s="54">
        <f t="shared" si="7"/>
        <v>3299.249258699434</v>
      </c>
    </row>
    <row r="22" spans="1:13" x14ac:dyDescent="0.3">
      <c r="A22" s="7" t="s">
        <v>68</v>
      </c>
      <c r="B22" s="156">
        <f t="shared" ref="B22:K22" si="9">SUM(B7:B21)</f>
        <v>6612800</v>
      </c>
      <c r="C22" s="25">
        <f t="shared" si="9"/>
        <v>1</v>
      </c>
      <c r="D22" s="156">
        <f t="shared" si="9"/>
        <v>5901473</v>
      </c>
      <c r="E22" s="25">
        <f t="shared" si="9"/>
        <v>1</v>
      </c>
      <c r="F22" s="25">
        <f t="shared" si="9"/>
        <v>1</v>
      </c>
      <c r="G22" s="11">
        <f t="shared" si="9"/>
        <v>1383610</v>
      </c>
      <c r="H22" s="158">
        <f t="shared" si="9"/>
        <v>3734430</v>
      </c>
      <c r="I22" s="31">
        <f t="shared" si="9"/>
        <v>0.99999999999999989</v>
      </c>
      <c r="J22" s="11">
        <f t="shared" si="9"/>
        <v>157500.00000000003</v>
      </c>
      <c r="K22" s="125">
        <f t="shared" si="9"/>
        <v>1541110</v>
      </c>
      <c r="L22" s="137">
        <f>SUM(L7:L21)</f>
        <v>1474388</v>
      </c>
      <c r="M22" s="54"/>
    </row>
    <row r="23" spans="1:13" x14ac:dyDescent="0.3">
      <c r="D23" s="84"/>
      <c r="H23" s="22"/>
    </row>
    <row r="24" spans="1:13" x14ac:dyDescent="0.3">
      <c r="A24" s="27" t="s">
        <v>97</v>
      </c>
      <c r="D24" s="84"/>
    </row>
    <row r="25" spans="1:13" ht="28.8" x14ac:dyDescent="0.3">
      <c r="A25" s="1" t="s">
        <v>69</v>
      </c>
      <c r="I25" s="46"/>
    </row>
    <row r="26" spans="1:13" ht="28.8" x14ac:dyDescent="0.3">
      <c r="A26" s="139" t="s">
        <v>70</v>
      </c>
      <c r="I26" s="46"/>
    </row>
    <row r="27" spans="1:13" x14ac:dyDescent="0.3">
      <c r="A27" s="140" t="s">
        <v>113</v>
      </c>
      <c r="B27" s="84"/>
      <c r="C27" s="84"/>
      <c r="D27" s="84"/>
      <c r="I27" s="46"/>
    </row>
    <row r="28" spans="1:13" x14ac:dyDescent="0.3">
      <c r="A28" s="140" t="s">
        <v>114</v>
      </c>
      <c r="B28" s="84"/>
      <c r="C28" s="84"/>
      <c r="D28" s="84"/>
      <c r="I28" s="46"/>
    </row>
    <row r="29" spans="1:13" x14ac:dyDescent="0.3">
      <c r="A29" s="141" t="s">
        <v>115</v>
      </c>
      <c r="B29" s="106"/>
      <c r="C29" s="106"/>
      <c r="D29" s="84"/>
      <c r="I29" s="46"/>
    </row>
    <row r="30" spans="1:13" ht="16.95" customHeight="1" x14ac:dyDescent="0.3">
      <c r="A30" s="140" t="s">
        <v>116</v>
      </c>
      <c r="B30" s="84"/>
      <c r="C30" s="84"/>
      <c r="D30" s="84"/>
      <c r="I30" s="46"/>
    </row>
    <row r="31" spans="1:13" ht="16.95" customHeight="1" x14ac:dyDescent="0.3">
      <c r="A31" s="140" t="s">
        <v>117</v>
      </c>
      <c r="B31" s="84"/>
      <c r="C31" s="84"/>
      <c r="D31" s="84"/>
      <c r="I31" s="46"/>
    </row>
    <row r="32" spans="1:13" x14ac:dyDescent="0.3">
      <c r="A32" s="141" t="s">
        <v>118</v>
      </c>
      <c r="B32" s="106"/>
      <c r="C32" s="106"/>
      <c r="D32" s="84"/>
      <c r="I32" s="46"/>
    </row>
    <row r="33" spans="1:9" x14ac:dyDescent="0.3">
      <c r="A33" s="140" t="s">
        <v>119</v>
      </c>
      <c r="B33" s="84"/>
      <c r="C33" s="84"/>
      <c r="D33" s="84"/>
      <c r="I33" s="46"/>
    </row>
    <row r="34" spans="1:9" x14ac:dyDescent="0.3">
      <c r="A34" s="142" t="s">
        <v>120</v>
      </c>
      <c r="B34" s="84"/>
      <c r="C34" s="84"/>
      <c r="D34" s="84"/>
      <c r="I34" s="46"/>
    </row>
    <row r="35" spans="1:9" x14ac:dyDescent="0.3">
      <c r="A35" s="27"/>
      <c r="I35" s="46"/>
    </row>
    <row r="36" spans="1:9" x14ac:dyDescent="0.3">
      <c r="A36" s="143" t="s">
        <v>129</v>
      </c>
      <c r="B36" s="144"/>
      <c r="I36" s="46"/>
    </row>
    <row r="37" spans="1:9" x14ac:dyDescent="0.3">
      <c r="A37" s="174" t="s">
        <v>125</v>
      </c>
      <c r="B37" s="175"/>
      <c r="C37" s="10"/>
      <c r="D37" s="10"/>
      <c r="E37" s="10"/>
      <c r="F37" s="10"/>
      <c r="I37" s="46"/>
    </row>
    <row r="38" spans="1:9" x14ac:dyDescent="0.3">
      <c r="A38" s="145" t="s">
        <v>45</v>
      </c>
      <c r="B38" s="146" t="s">
        <v>81</v>
      </c>
      <c r="E38" s="46"/>
    </row>
    <row r="39" spans="1:9" x14ac:dyDescent="0.3">
      <c r="A39" s="147" t="s">
        <v>53</v>
      </c>
      <c r="B39" s="149">
        <v>29991.343477986062</v>
      </c>
      <c r="E39" s="46"/>
    </row>
    <row r="40" spans="1:9" x14ac:dyDescent="0.3">
      <c r="A40" s="147" t="s">
        <v>56</v>
      </c>
      <c r="B40" s="149">
        <v>55278.084495264186</v>
      </c>
    </row>
    <row r="41" spans="1:9" x14ac:dyDescent="0.3">
      <c r="A41" s="148" t="s">
        <v>126</v>
      </c>
      <c r="B41" s="150">
        <f>SUM(B39:B40)</f>
        <v>85269.427973250247</v>
      </c>
    </row>
  </sheetData>
  <mergeCells count="1">
    <mergeCell ref="A37:B37"/>
  </mergeCells>
  <pageMargins left="0.7" right="0.7" top="0.75" bottom="0.75" header="0.3" footer="0.3"/>
  <pageSetup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26"/>
  <sheetViews>
    <sheetView zoomScale="90" zoomScaleNormal="90" workbookViewId="0">
      <selection activeCell="E28" sqref="E28"/>
    </sheetView>
  </sheetViews>
  <sheetFormatPr defaultColWidth="9.33203125" defaultRowHeight="14.4" x14ac:dyDescent="0.3"/>
  <cols>
    <col min="1" max="1" width="42.6640625" customWidth="1"/>
    <col min="2" max="3" width="14.109375" customWidth="1"/>
    <col min="4" max="5" width="15.33203125" bestFit="1" customWidth="1"/>
    <col min="6" max="7" width="15.33203125" customWidth="1"/>
    <col min="8" max="8" width="18.44140625" bestFit="1" customWidth="1"/>
    <col min="9" max="9" width="18.6640625" customWidth="1"/>
    <col min="10" max="10" width="15.33203125" customWidth="1"/>
    <col min="11" max="11" width="16.44140625" customWidth="1"/>
    <col min="12" max="13" width="21.33203125" bestFit="1" customWidth="1"/>
    <col min="14" max="14" width="41.44140625" bestFit="1" customWidth="1"/>
  </cols>
  <sheetData>
    <row r="1" spans="1:13" x14ac:dyDescent="0.3">
      <c r="A1" s="1"/>
      <c r="B1" s="103"/>
      <c r="C1" s="36" t="s">
        <v>136</v>
      </c>
      <c r="D1" s="37"/>
    </row>
    <row r="2" spans="1:13" ht="15" thickBot="1" x14ac:dyDescent="0.35">
      <c r="A2" s="1"/>
      <c r="B2" s="102"/>
      <c r="C2" s="38" t="s">
        <v>102</v>
      </c>
      <c r="D2" s="39"/>
    </row>
    <row r="3" spans="1:13" x14ac:dyDescent="0.3">
      <c r="A3" s="1"/>
      <c r="B3" s="1"/>
    </row>
    <row r="4" spans="1:13" x14ac:dyDescent="0.3">
      <c r="A4" s="1"/>
      <c r="B4" s="1"/>
    </row>
    <row r="5" spans="1:13" x14ac:dyDescent="0.3">
      <c r="A5" s="1"/>
      <c r="B5" s="1"/>
    </row>
    <row r="6" spans="1:13" x14ac:dyDescent="0.3">
      <c r="A6" s="1"/>
      <c r="B6" s="161">
        <v>2023</v>
      </c>
      <c r="C6" s="16">
        <v>2022</v>
      </c>
      <c r="D6" s="153">
        <v>2022</v>
      </c>
      <c r="E6" s="16">
        <v>2021</v>
      </c>
      <c r="F6" s="16">
        <v>2025</v>
      </c>
      <c r="G6" s="16">
        <v>2024</v>
      </c>
      <c r="H6" s="16">
        <v>2025</v>
      </c>
      <c r="I6" s="16">
        <v>2024</v>
      </c>
      <c r="J6" s="153">
        <v>2023</v>
      </c>
      <c r="K6" s="16">
        <v>2022</v>
      </c>
      <c r="L6" s="16">
        <v>2025</v>
      </c>
      <c r="M6" s="16">
        <v>2024</v>
      </c>
    </row>
    <row r="7" spans="1:13" s="57" customFormat="1" x14ac:dyDescent="0.3">
      <c r="A7" s="18" t="s">
        <v>45</v>
      </c>
      <c r="B7" s="162" t="s">
        <v>47</v>
      </c>
      <c r="C7" s="19" t="s">
        <v>47</v>
      </c>
      <c r="D7" s="154" t="s">
        <v>48</v>
      </c>
      <c r="E7" s="19" t="s">
        <v>48</v>
      </c>
      <c r="F7" s="19" t="s">
        <v>72</v>
      </c>
      <c r="G7" s="19" t="s">
        <v>72</v>
      </c>
      <c r="H7" s="19" t="s">
        <v>74</v>
      </c>
      <c r="I7" s="19" t="s">
        <v>74</v>
      </c>
      <c r="J7" s="154" t="s">
        <v>51</v>
      </c>
      <c r="K7" s="19" t="s">
        <v>51</v>
      </c>
      <c r="L7" s="19" t="s">
        <v>75</v>
      </c>
      <c r="M7" s="19" t="s">
        <v>75</v>
      </c>
    </row>
    <row r="8" spans="1:13" x14ac:dyDescent="0.3">
      <c r="A8" s="30" t="s">
        <v>54</v>
      </c>
      <c r="B8" s="163">
        <f>'Buying pool summary'!C7</f>
        <v>9.7989353980159691E-2</v>
      </c>
      <c r="C8" s="34">
        <v>9.9227558494326698E-2</v>
      </c>
      <c r="D8" s="163">
        <f>'Buying pool summary'!E7</f>
        <v>8.7522725258592213E-2</v>
      </c>
      <c r="E8" s="34">
        <v>8.7569354852490108E-2</v>
      </c>
      <c r="F8" s="32">
        <f>'Buying pool summary'!F7</f>
        <v>9.5372696799767828E-2</v>
      </c>
      <c r="G8" s="101">
        <v>9.6313007583867558E-2</v>
      </c>
      <c r="H8" s="41">
        <f>'Buying pool summary'!G7</f>
        <v>131958.61701912677</v>
      </c>
      <c r="I8" s="63">
        <v>120407.24743909336</v>
      </c>
      <c r="J8" s="163">
        <f>'Buying pool summary'!I7</f>
        <v>0.10936528466191628</v>
      </c>
      <c r="K8" s="101">
        <v>0.11172461971003117</v>
      </c>
      <c r="L8" s="41">
        <f>'Buying pool summary'!J7</f>
        <v>17225.032334251813</v>
      </c>
      <c r="M8" s="63">
        <v>17596.627604329908</v>
      </c>
    </row>
    <row r="9" spans="1:13" x14ac:dyDescent="0.3">
      <c r="A9" s="1" t="s">
        <v>86</v>
      </c>
      <c r="B9" s="163">
        <f>'Buying pool summary'!C8</f>
        <v>9.4488870070166944E-2</v>
      </c>
      <c r="C9" s="34">
        <v>9.5486560331200981E-2</v>
      </c>
      <c r="D9" s="163">
        <f>'Buying pool summary'!E8</f>
        <v>8.1310716832899171E-2</v>
      </c>
      <c r="E9" s="34">
        <v>8.1278675358628885E-2</v>
      </c>
      <c r="F9" s="32">
        <f>'Buying pool summary'!F8</f>
        <v>9.1194331760850011E-2</v>
      </c>
      <c r="G9" s="101">
        <v>9.1934589088057961E-2</v>
      </c>
      <c r="H9" s="41">
        <f>'Buying pool summary'!G8</f>
        <v>126177.38936762969</v>
      </c>
      <c r="I9" s="63">
        <v>114933.49750186107</v>
      </c>
      <c r="J9" s="163">
        <f>'Buying pool summary'!I8</f>
        <v>9.3796643664494986E-2</v>
      </c>
      <c r="K9" s="101">
        <v>9.4228350958666302E-2</v>
      </c>
      <c r="L9" s="41">
        <f>'Buying pool summary'!J8</f>
        <v>14772.971377157961</v>
      </c>
      <c r="M9" s="40">
        <v>14840.965275989942</v>
      </c>
    </row>
    <row r="10" spans="1:13" x14ac:dyDescent="0.3">
      <c r="A10" s="30" t="s">
        <v>55</v>
      </c>
      <c r="B10" s="163">
        <f>'Buying pool summary'!C9</f>
        <v>2.0845027824824582E-2</v>
      </c>
      <c r="C10" s="34">
        <v>2.0786045135357395E-2</v>
      </c>
      <c r="D10" s="163">
        <f>'Buying pool summary'!E9</f>
        <v>2.9075622306498735E-2</v>
      </c>
      <c r="E10" s="34">
        <v>2.9157489127927344E-2</v>
      </c>
      <c r="F10" s="32">
        <f>'Buying pool summary'!F9</f>
        <v>2.290267644524312E-2</v>
      </c>
      <c r="G10" s="101">
        <v>2.2878906133499882E-2</v>
      </c>
      <c r="H10" s="41">
        <f>'Buying pool summary'!G9</f>
        <v>31688.372156402835</v>
      </c>
      <c r="I10" s="63">
        <v>28602.430565293012</v>
      </c>
      <c r="J10" s="163">
        <f>'Buying pool summary'!I9</f>
        <v>2.1689253781701626E-2</v>
      </c>
      <c r="K10" s="101">
        <v>2.128247658694327E-2</v>
      </c>
      <c r="L10" s="41">
        <f>'Buying pool summary'!J9</f>
        <v>3416.0574706180059</v>
      </c>
      <c r="M10" s="40">
        <v>3351.990062443565</v>
      </c>
    </row>
    <row r="11" spans="1:13" x14ac:dyDescent="0.3">
      <c r="A11" s="30" t="s">
        <v>57</v>
      </c>
      <c r="B11" s="163">
        <f>'Buying pool summary'!C10</f>
        <v>1.3977740140333898E-2</v>
      </c>
      <c r="C11" s="34">
        <v>1.4414467498597365E-2</v>
      </c>
      <c r="D11" s="163">
        <f>'Buying pool summary'!E10</f>
        <v>2.0621800692810083E-2</v>
      </c>
      <c r="E11" s="34">
        <v>2.0566287603701203E-2</v>
      </c>
      <c r="F11" s="32">
        <f>'Buying pool summary'!F10</f>
        <v>1.5638755278452945E-2</v>
      </c>
      <c r="G11" s="101">
        <v>1.5952422524873326E-2</v>
      </c>
      <c r="H11" s="41">
        <f>'Buying pool summary'!G10</f>
        <v>21637.938190820281</v>
      </c>
      <c r="I11" s="63">
        <v>19943.176258230786</v>
      </c>
      <c r="J11" s="163">
        <f>'Buying pool summary'!I10</f>
        <v>1.2195435447980013E-2</v>
      </c>
      <c r="K11" s="101">
        <v>1.2794560176242638E-2</v>
      </c>
      <c r="L11" s="41">
        <f>'Buying pool summary'!J10</f>
        <v>1920.7810830568521</v>
      </c>
      <c r="M11" s="40">
        <v>2015.1432277582155</v>
      </c>
    </row>
    <row r="12" spans="1:13" x14ac:dyDescent="0.3">
      <c r="A12" s="30" t="s">
        <v>58</v>
      </c>
      <c r="B12" s="163">
        <f>'Buying pool summary'!C11</f>
        <v>9.539211831599323E-2</v>
      </c>
      <c r="C12" s="34">
        <v>9.3448737885468203E-2</v>
      </c>
      <c r="D12" s="163">
        <f>'Buying pool summary'!E11</f>
        <v>0.16052670240124797</v>
      </c>
      <c r="E12" s="34">
        <v>0.161342412617585</v>
      </c>
      <c r="F12" s="32">
        <f>'Buying pool summary'!F11</f>
        <v>0.11167576433730692</v>
      </c>
      <c r="G12" s="101">
        <v>0.11042215656849741</v>
      </c>
      <c r="H12" s="41">
        <f>'Buying pool summary'!G11</f>
        <v>154515.70429474121</v>
      </c>
      <c r="I12" s="63">
        <v>138046.02578861214</v>
      </c>
      <c r="J12" s="163">
        <f>'Buying pool summary'!I11</f>
        <v>0.1085983670868111</v>
      </c>
      <c r="K12" s="101">
        <v>0.10349765016617504</v>
      </c>
      <c r="L12" s="41">
        <f>'Buying pool summary'!J11</f>
        <v>17104.242816172748</v>
      </c>
      <c r="M12" s="40">
        <v>16300.87990117257</v>
      </c>
    </row>
    <row r="13" spans="1:13" x14ac:dyDescent="0.3">
      <c r="A13" s="1" t="s">
        <v>59</v>
      </c>
      <c r="B13" s="163">
        <f>'Buying pool summary'!C12</f>
        <v>7.4220753689813693E-2</v>
      </c>
      <c r="C13" s="34">
        <v>7.3426615975426365E-2</v>
      </c>
      <c r="D13" s="163">
        <f>'Buying pool summary'!E12</f>
        <v>7.363720887988473E-2</v>
      </c>
      <c r="E13" s="34">
        <v>7.3433182676452241E-2</v>
      </c>
      <c r="F13" s="32">
        <f>'Buying pool summary'!F12</f>
        <v>7.4074867487331456E-2</v>
      </c>
      <c r="G13" s="101">
        <v>7.3428257650682838E-2</v>
      </c>
      <c r="H13" s="41">
        <f>'Buying pool summary'!G12</f>
        <v>102490.72740414667</v>
      </c>
      <c r="I13" s="63">
        <v>91797.511154123567</v>
      </c>
      <c r="J13" s="163">
        <f>'Buying pool summary'!I12</f>
        <v>6.8394641216999646E-2</v>
      </c>
      <c r="K13" s="101">
        <v>7.1668838308282926E-2</v>
      </c>
      <c r="L13" s="41">
        <f>'Buying pool summary'!J12</f>
        <v>10772.155991677444</v>
      </c>
      <c r="M13" s="40">
        <v>11287.842033554562</v>
      </c>
    </row>
    <row r="14" spans="1:13" x14ac:dyDescent="0.3">
      <c r="A14" s="30" t="s">
        <v>78</v>
      </c>
      <c r="B14" s="163">
        <f>'Buying pool summary'!C13</f>
        <v>6.6903580933946286E-2</v>
      </c>
      <c r="C14" s="34">
        <v>6.7125490281474728E-2</v>
      </c>
      <c r="D14" s="163">
        <f>'Buying pool summary'!E13</f>
        <v>7.6591386591110394E-2</v>
      </c>
      <c r="E14" s="34">
        <v>7.6469160906675326E-2</v>
      </c>
      <c r="F14" s="32">
        <f>'Buying pool summary'!F13</f>
        <v>6.9325532348237323E-2</v>
      </c>
      <c r="G14" s="101">
        <v>6.9461407937774874E-2</v>
      </c>
      <c r="H14" s="41">
        <f>'Buying pool summary'!G13</f>
        <v>95919.499812344642</v>
      </c>
      <c r="I14" s="63">
        <v>86838.290515936271</v>
      </c>
      <c r="J14" s="163">
        <f>'Buying pool summary'!I13</f>
        <v>6.6854111604716118E-2</v>
      </c>
      <c r="K14" s="101">
        <v>6.7908870939761515E-2</v>
      </c>
      <c r="L14" s="41">
        <f>'Buying pool summary'!J13</f>
        <v>10529.52257774279</v>
      </c>
      <c r="M14" s="40">
        <v>10695.647173012439</v>
      </c>
    </row>
    <row r="15" spans="1:13" x14ac:dyDescent="0.3">
      <c r="A15" s="30" t="s">
        <v>61</v>
      </c>
      <c r="B15" s="163">
        <f>'Buying pool summary'!C14</f>
        <v>3.6408782966368257E-2</v>
      </c>
      <c r="C15" s="34">
        <v>3.6258252484391691E-2</v>
      </c>
      <c r="D15" s="163">
        <f>'Buying pool summary'!E14</f>
        <v>2.5861170592494449E-2</v>
      </c>
      <c r="E15" s="34">
        <v>2.5509257281511922E-2</v>
      </c>
      <c r="F15" s="32">
        <f>'Buying pool summary'!F14</f>
        <v>3.3771879872899806E-2</v>
      </c>
      <c r="G15" s="101">
        <v>3.3571003683671753E-2</v>
      </c>
      <c r="H15" s="41">
        <f>'Buying pool summary'!G14</f>
        <v>46727.110710942899</v>
      </c>
      <c r="I15" s="63">
        <v>41969.327391201179</v>
      </c>
      <c r="J15" s="163">
        <f>'Buying pool summary'!I14</f>
        <v>3.1165666514032932E-2</v>
      </c>
      <c r="K15" s="101">
        <v>3.1983339052783284E-2</v>
      </c>
      <c r="L15" s="41">
        <f>'Buying pool summary'!J14</f>
        <v>4908.5924759601867</v>
      </c>
      <c r="M15" s="40">
        <v>5037.3759008133675</v>
      </c>
    </row>
    <row r="16" spans="1:13" x14ac:dyDescent="0.3">
      <c r="A16" s="30" t="s">
        <v>77</v>
      </c>
      <c r="B16" s="163">
        <f>'Buying pool summary'!C15</f>
        <v>3.9510041132349384E-2</v>
      </c>
      <c r="C16" s="34">
        <v>3.6002543955607591E-2</v>
      </c>
      <c r="D16" s="163">
        <f>'Buying pool summary'!E15</f>
        <v>4.3017734724872927E-2</v>
      </c>
      <c r="E16" s="34">
        <v>4.2927129345625113E-2</v>
      </c>
      <c r="F16" s="32">
        <f>'Buying pool summary'!F15</f>
        <v>4.0386964530480268E-2</v>
      </c>
      <c r="G16" s="101">
        <v>3.7733690303111973E-2</v>
      </c>
      <c r="H16" s="41">
        <f>'Buying pool summary'!G15</f>
        <v>55879.807994017807</v>
      </c>
      <c r="I16" s="63">
        <v>47173.376671480284</v>
      </c>
      <c r="J16" s="163">
        <f>'Buying pool summary'!I15</f>
        <v>3.948099174438937E-2</v>
      </c>
      <c r="K16" s="101">
        <v>3.6422642957335626E-2</v>
      </c>
      <c r="L16" s="41">
        <f>'Buying pool summary'!J15</f>
        <v>6218.2561997413259</v>
      </c>
      <c r="M16" s="40">
        <v>5736.5662657803614</v>
      </c>
    </row>
    <row r="17" spans="1:14" x14ac:dyDescent="0.3">
      <c r="A17" s="30" t="s">
        <v>124</v>
      </c>
      <c r="B17" s="163">
        <f>'Buying pool summary'!C16</f>
        <v>5.622081417856279E-2</v>
      </c>
      <c r="C17" s="130">
        <v>5.6000000000000001E-2</v>
      </c>
      <c r="D17" s="163">
        <f>'Buying pool summary'!E16</f>
        <v>7.6720506897176355E-2</v>
      </c>
      <c r="E17" s="130">
        <v>7.6999999999999999E-2</v>
      </c>
      <c r="F17" s="32">
        <f>'Buying pool summary'!F16</f>
        <v>6.1345737358216183E-2</v>
      </c>
      <c r="G17" s="131">
        <v>6.0999999999999999E-2</v>
      </c>
      <c r="H17" s="41">
        <f>'Buying pool summary'!G16</f>
        <v>84878.57566620149</v>
      </c>
      <c r="I17" s="132">
        <v>76817</v>
      </c>
      <c r="J17" s="163">
        <f>'Buying pool summary'!I16</f>
        <v>5.3065394183315795E-2</v>
      </c>
      <c r="K17" s="131">
        <v>5.3999999999999999E-2</v>
      </c>
      <c r="L17" s="41">
        <f>'Buying pool summary'!J16</f>
        <v>8357.7995838722381</v>
      </c>
      <c r="M17" s="133">
        <v>8453</v>
      </c>
      <c r="N17" s="136"/>
    </row>
    <row r="18" spans="1:14" x14ac:dyDescent="0.3">
      <c r="A18" s="30" t="s">
        <v>63</v>
      </c>
      <c r="B18" s="163">
        <f>'Buying pool summary'!C17</f>
        <v>0.23461710621824342</v>
      </c>
      <c r="C18" s="34">
        <v>0.23529091528602208</v>
      </c>
      <c r="D18" s="163">
        <f>'Buying pool summary'!E17</f>
        <v>0.14904346762240545</v>
      </c>
      <c r="E18" s="34">
        <v>0.14846458139316321</v>
      </c>
      <c r="F18" s="32">
        <f>'Buying pool summary'!F17</f>
        <v>0.21322369656928392</v>
      </c>
      <c r="G18" s="101">
        <v>0.21358433181280737</v>
      </c>
      <c r="H18" s="41">
        <f>'Buying pool summary'!G17</f>
        <v>295018.43881022691</v>
      </c>
      <c r="I18" s="63">
        <v>267015.86976509012</v>
      </c>
      <c r="J18" s="163">
        <f>'Buying pool summary'!I17</f>
        <v>0.23387826254609137</v>
      </c>
      <c r="K18" s="101">
        <v>0.24617669105961046</v>
      </c>
      <c r="L18" s="41">
        <f>'Buying pool summary'!J17</f>
        <v>36835.826351009389</v>
      </c>
      <c r="M18" s="40">
        <v>38772.828841888644</v>
      </c>
    </row>
    <row r="19" spans="1:14" x14ac:dyDescent="0.3">
      <c r="A19" s="30" t="s">
        <v>64</v>
      </c>
      <c r="B19" s="163">
        <f>'Buying pool summary'!C18</f>
        <v>2.0779095088313573E-2</v>
      </c>
      <c r="C19" s="34">
        <v>2.104799826816315E-2</v>
      </c>
      <c r="D19" s="163">
        <f>'Buying pool summary'!E18</f>
        <v>2.1761516150289935E-2</v>
      </c>
      <c r="E19" s="34">
        <v>2.196423536648924E-2</v>
      </c>
      <c r="F19" s="32">
        <f>'Buying pool summary'!F18</f>
        <v>2.1024700353807664E-2</v>
      </c>
      <c r="G19" s="101">
        <v>2.1277057542744674E-2</v>
      </c>
      <c r="H19" s="41">
        <f>'Buying pool summary'!G18</f>
        <v>29089.985656531822</v>
      </c>
      <c r="I19" s="63">
        <v>26599.853919982939</v>
      </c>
      <c r="J19" s="163">
        <f>'Buying pool summary'!I18</f>
        <v>1.7420864763832766E-2</v>
      </c>
      <c r="K19" s="101">
        <v>1.7586944143084017E-2</v>
      </c>
      <c r="L19" s="41">
        <f>'Buying pool summary'!J18</f>
        <v>2743.7862003036607</v>
      </c>
      <c r="M19" s="40">
        <v>2769.9437025357329</v>
      </c>
    </row>
    <row r="20" spans="1:14" x14ac:dyDescent="0.3">
      <c r="A20" s="30" t="s">
        <v>65</v>
      </c>
      <c r="B20" s="163">
        <f>'Buying pool summary'!C19</f>
        <v>5.2113628115170577E-2</v>
      </c>
      <c r="C20" s="34">
        <v>5.1849427545941074E-2</v>
      </c>
      <c r="D20" s="163">
        <f>'Buying pool summary'!E19</f>
        <v>4.9310062081110939E-2</v>
      </c>
      <c r="E20" s="34">
        <v>4.9519407397281341E-2</v>
      </c>
      <c r="F20" s="32">
        <f>'Buying pool summary'!F19</f>
        <v>5.1412736606655671E-2</v>
      </c>
      <c r="G20" s="101">
        <v>5.1266922508776139E-2</v>
      </c>
      <c r="H20" s="41">
        <f>'Buying pool summary'!G19</f>
        <v>71135.176496334854</v>
      </c>
      <c r="I20" s="63">
        <v>64092.163445106627</v>
      </c>
      <c r="J20" s="163">
        <f>'Buying pool summary'!I19</f>
        <v>4.3737866287492336E-2</v>
      </c>
      <c r="K20" s="101">
        <v>4.4163872299892382E-2</v>
      </c>
      <c r="L20" s="41">
        <f>'Buying pool summary'!J19</f>
        <v>6888.7139402800431</v>
      </c>
      <c r="M20" s="40">
        <v>6955.8098872330502</v>
      </c>
    </row>
    <row r="21" spans="1:14" x14ac:dyDescent="0.3">
      <c r="A21" s="30" t="s">
        <v>66</v>
      </c>
      <c r="B21" s="163">
        <f>'Buying pool summary'!C20</f>
        <v>4.6793188966852167E-2</v>
      </c>
      <c r="C21" s="34">
        <v>4.9423639060606601E-2</v>
      </c>
      <c r="D21" s="163">
        <f>'Buying pool summary'!E20</f>
        <v>5.6428284938353529E-2</v>
      </c>
      <c r="E21" s="34">
        <v>5.6641063540749978E-2</v>
      </c>
      <c r="F21" s="32">
        <f>'Buying pool summary'!F20</f>
        <v>4.9201962959727508E-2</v>
      </c>
      <c r="G21" s="101">
        <v>5.1227995180642444E-2</v>
      </c>
      <c r="H21" s="41">
        <f>'Buying pool summary'!G20</f>
        <v>68076.327970708575</v>
      </c>
      <c r="I21" s="63">
        <v>64043.497823003039</v>
      </c>
      <c r="J21" s="163">
        <f>'Buying pool summary'!I20</f>
        <v>5.9800826364398318E-2</v>
      </c>
      <c r="K21" s="101">
        <v>4.5551409885716931E-2</v>
      </c>
      <c r="L21" s="41">
        <f>'Buying pool summary'!J20</f>
        <v>9418.6301523927359</v>
      </c>
      <c r="M21" s="40">
        <v>7174.3470570004165</v>
      </c>
    </row>
    <row r="22" spans="1:14" x14ac:dyDescent="0.3">
      <c r="A22" s="30" t="s">
        <v>67</v>
      </c>
      <c r="B22" s="163">
        <f>'Buying pool summary'!C21</f>
        <v>4.9739898378901526E-2</v>
      </c>
      <c r="C22" s="34">
        <v>4.9822813363836892E-2</v>
      </c>
      <c r="D22" s="163">
        <f>'Buying pool summary'!E21</f>
        <v>4.8571094030253122E-2</v>
      </c>
      <c r="E22" s="34">
        <v>4.8544381124885724E-2</v>
      </c>
      <c r="F22" s="32">
        <f>'Buying pool summary'!F21</f>
        <v>4.9447697291739423E-2</v>
      </c>
      <c r="G22" s="101">
        <v>4.9503205304099102E-2</v>
      </c>
      <c r="H22" s="41">
        <f>'Buying pool summary'!G21</f>
        <v>68416.328449823588</v>
      </c>
      <c r="I22" s="63">
        <v>61887.224162204358</v>
      </c>
      <c r="J22" s="163">
        <f>'Buying pool summary'!I21</f>
        <v>4.0556390131827345E-2</v>
      </c>
      <c r="K22" s="101">
        <v>4.1340398044560397E-2</v>
      </c>
      <c r="L22" s="41">
        <f>'Buying pool summary'!J21</f>
        <v>6387.6314457628068</v>
      </c>
      <c r="M22" s="40">
        <v>6511.1126920182624</v>
      </c>
    </row>
    <row r="23" spans="1:14" hidden="1" x14ac:dyDescent="0.3">
      <c r="A23" s="30"/>
      <c r="B23" s="164"/>
      <c r="D23" s="116"/>
      <c r="E23" s="25">
        <v>0</v>
      </c>
      <c r="F23" s="25"/>
      <c r="G23" s="25"/>
      <c r="I23" s="25"/>
      <c r="J23" s="166"/>
      <c r="K23" s="29">
        <v>0</v>
      </c>
    </row>
    <row r="24" spans="1:14" x14ac:dyDescent="0.3">
      <c r="A24" s="7" t="s">
        <v>68</v>
      </c>
      <c r="B24" s="165">
        <f t="shared" ref="B24:M24" si="0">SUM(B8:B22)</f>
        <v>1</v>
      </c>
      <c r="C24" s="52">
        <f t="shared" si="0"/>
        <v>0.99961106556642088</v>
      </c>
      <c r="D24" s="165">
        <f t="shared" si="0"/>
        <v>1</v>
      </c>
      <c r="E24" s="52">
        <f>SUM(E8:E22)</f>
        <v>1.0003866185931667</v>
      </c>
      <c r="F24" s="52">
        <f t="shared" si="0"/>
        <v>1</v>
      </c>
      <c r="G24" s="52">
        <f t="shared" si="0"/>
        <v>0.99955495382310733</v>
      </c>
      <c r="H24" s="14">
        <f t="shared" si="0"/>
        <v>1383610</v>
      </c>
      <c r="I24" s="35">
        <f t="shared" si="0"/>
        <v>1250166.4924012187</v>
      </c>
      <c r="J24" s="167">
        <f t="shared" si="0"/>
        <v>0.99999999999999989</v>
      </c>
      <c r="K24" s="53">
        <f t="shared" si="0"/>
        <v>1.0003306642890861</v>
      </c>
      <c r="L24" s="35">
        <f t="shared" si="0"/>
        <v>157500.00000000003</v>
      </c>
      <c r="M24" s="35">
        <f t="shared" si="0"/>
        <v>157500.07962553104</v>
      </c>
    </row>
    <row r="25" spans="1:14" x14ac:dyDescent="0.3">
      <c r="A25" s="1"/>
      <c r="B25" s="1"/>
    </row>
    <row r="26" spans="1:14" x14ac:dyDescent="0.3">
      <c r="A26" s="26"/>
      <c r="B26" s="26"/>
    </row>
  </sheetData>
  <pageMargins left="0.7" right="0.7" top="0.75" bottom="0.75" header="0.3" footer="0.3"/>
  <pageSetup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E18"/>
  <sheetViews>
    <sheetView workbookViewId="0">
      <selection activeCell="D2" sqref="D2"/>
    </sheetView>
  </sheetViews>
  <sheetFormatPr defaultRowHeight="14.4" x14ac:dyDescent="0.3"/>
  <cols>
    <col min="2" max="5" width="16.109375" customWidth="1"/>
  </cols>
  <sheetData>
    <row r="3" spans="2:5" x14ac:dyDescent="0.3">
      <c r="B3" s="138" t="s">
        <v>103</v>
      </c>
      <c r="C3" s="47"/>
      <c r="D3" s="10"/>
      <c r="E3" s="10"/>
    </row>
    <row r="4" spans="2:5" x14ac:dyDescent="0.3">
      <c r="B4" s="117" t="s">
        <v>104</v>
      </c>
      <c r="C4" s="117" t="s">
        <v>105</v>
      </c>
      <c r="D4" s="117"/>
      <c r="E4" s="117"/>
    </row>
    <row r="5" spans="2:5" x14ac:dyDescent="0.3">
      <c r="B5" s="118" t="s">
        <v>106</v>
      </c>
      <c r="C5" s="119">
        <v>110.25</v>
      </c>
      <c r="D5" s="119"/>
      <c r="E5" s="119"/>
    </row>
    <row r="6" spans="2:5" x14ac:dyDescent="0.3">
      <c r="B6" s="118"/>
      <c r="C6" s="119"/>
      <c r="D6" s="119"/>
      <c r="E6" s="119"/>
    </row>
    <row r="7" spans="2:5" ht="70.2" customHeight="1" x14ac:dyDescent="0.3">
      <c r="B7" s="177" t="s">
        <v>139</v>
      </c>
      <c r="C7" s="177"/>
      <c r="D7" s="177"/>
    </row>
    <row r="9" spans="2:5" x14ac:dyDescent="0.3">
      <c r="B9" s="176" t="s">
        <v>137</v>
      </c>
      <c r="C9" s="176"/>
      <c r="D9" s="176"/>
    </row>
    <row r="10" spans="2:5" x14ac:dyDescent="0.3">
      <c r="B10" t="s">
        <v>122</v>
      </c>
      <c r="C10" s="22">
        <v>1000</v>
      </c>
      <c r="D10" s="120"/>
      <c r="E10" s="120"/>
    </row>
    <row r="11" spans="2:5" x14ac:dyDescent="0.3">
      <c r="B11" t="s">
        <v>107</v>
      </c>
      <c r="C11" s="121">
        <v>78705</v>
      </c>
      <c r="D11" s="71"/>
      <c r="E11" s="71"/>
    </row>
    <row r="12" spans="2:5" x14ac:dyDescent="0.3">
      <c r="B12" t="s">
        <v>108</v>
      </c>
      <c r="C12" s="71">
        <f>C11/C10</f>
        <v>78.704999999999998</v>
      </c>
      <c r="D12" s="71"/>
      <c r="E12" s="71"/>
    </row>
    <row r="15" spans="2:5" x14ac:dyDescent="0.3">
      <c r="B15" s="47" t="s">
        <v>138</v>
      </c>
      <c r="C15" s="57"/>
      <c r="D15" s="57"/>
    </row>
    <row r="16" spans="2:5" x14ac:dyDescent="0.3">
      <c r="B16" t="s">
        <v>109</v>
      </c>
      <c r="C16" s="120">
        <v>0.05</v>
      </c>
      <c r="D16" s="120"/>
    </row>
    <row r="17" spans="2:4" x14ac:dyDescent="0.3">
      <c r="B17" t="s">
        <v>107</v>
      </c>
      <c r="C17" s="66">
        <f>(C11*C16)+C11</f>
        <v>82640.25</v>
      </c>
      <c r="D17" s="71"/>
    </row>
    <row r="18" spans="2:4" x14ac:dyDescent="0.3">
      <c r="B18" t="s">
        <v>108</v>
      </c>
      <c r="C18" s="71">
        <f>C17/C10</f>
        <v>82.640249999999995</v>
      </c>
      <c r="D18" s="71"/>
    </row>
  </sheetData>
  <mergeCells count="2">
    <mergeCell ref="B9:D9"/>
    <mergeCell ref="B7: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2025 budget</vt:lpstr>
      <vt:lpstr>21-22 comparison and totals</vt:lpstr>
      <vt:lpstr>24-25 comparisons and totals</vt:lpstr>
      <vt:lpstr>Partner shares</vt:lpstr>
      <vt:lpstr>Magazine Costs</vt:lpstr>
      <vt:lpstr>Buying pool summary</vt:lpstr>
      <vt:lpstr>Buying pool 23-24 comparison</vt:lpstr>
      <vt:lpstr>Project Management</vt:lpstr>
      <vt:lpstr>'21-22 comparison and totals'!Print_Area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smorrill</dc:creator>
  <cp:lastModifiedBy>Melody Clark</cp:lastModifiedBy>
  <cp:lastPrinted>2022-03-30T19:37:34Z</cp:lastPrinted>
  <dcterms:created xsi:type="dcterms:W3CDTF">2007-05-31T16:25:10Z</dcterms:created>
  <dcterms:modified xsi:type="dcterms:W3CDTF">2023-04-11T18:22:48Z</dcterms:modified>
</cp:coreProperties>
</file>